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biancamsf_prefeitura_sp_gov_br/Documents/!DREST/Relatórios/Trimestrais/2025/04.Trimestre/"/>
    </mc:Choice>
  </mc:AlternateContent>
  <xr:revisionPtr revIDLastSave="12" documentId="11_E6C3745737953C4E7DBFDE86C84D8E2952A24EA2" xr6:coauthVersionLast="47" xr6:coauthVersionMax="47" xr10:uidLastSave="{7A8D670C-AC9E-46F6-86AA-9CEE3233C1AD}"/>
  <bookViews>
    <workbookView xWindow="-120" yWindow="-120" windowWidth="29040" windowHeight="15840" xr2:uid="{00000000-000D-0000-FFFF-FFFF00000000}"/>
  </bookViews>
  <sheets>
    <sheet name="Protocolos" sheetId="1" r:id="rId1"/>
    <sheet name="Canais_atendimento" sheetId="2" r:id="rId2"/>
    <sheet name="10+_Assuntos_2025" sheetId="3" r:id="rId3"/>
    <sheet name="Assuntos" sheetId="4" r:id="rId4"/>
    <sheet name="10+_Unidades_2025" sheetId="5" r:id="rId5"/>
    <sheet name="Unidades" sheetId="6" r:id="rId6"/>
    <sheet name="10+_Subprefeituras_2025" sheetId="7" r:id="rId7"/>
    <sheet name="Subprefeitur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E37" i="8" l="1"/>
  <c r="I1" i="7" s="1"/>
  <c r="I15" i="7" s="1"/>
  <c r="I11" i="7" l="1"/>
  <c r="I8" i="7"/>
  <c r="I7" i="7"/>
  <c r="I6" i="7"/>
  <c r="I13" i="7"/>
  <c r="I9" i="7"/>
  <c r="I10" i="7"/>
  <c r="I14" i="7"/>
  <c r="I12" i="7"/>
  <c r="G6" i="3"/>
  <c r="H7" i="5"/>
  <c r="H9" i="5"/>
  <c r="H8" i="5"/>
  <c r="H10" i="5"/>
  <c r="H13" i="5"/>
  <c r="H12" i="5"/>
  <c r="H11" i="5"/>
  <c r="H14" i="5"/>
  <c r="H15" i="5"/>
  <c r="H6" i="5"/>
  <c r="H6" i="2"/>
  <c r="H7" i="2"/>
  <c r="H8" i="2"/>
  <c r="H9" i="2"/>
  <c r="H10" i="2"/>
  <c r="H11" i="2"/>
  <c r="H12" i="2"/>
  <c r="G6" i="2"/>
  <c r="G7" i="2"/>
  <c r="G8" i="2"/>
  <c r="G9" i="2"/>
  <c r="G10" i="2"/>
  <c r="G11" i="2"/>
  <c r="G12" i="2"/>
  <c r="G5" i="2"/>
  <c r="H5" i="2"/>
  <c r="E71" i="6"/>
  <c r="F16" i="5" l="1"/>
  <c r="I1" i="5" l="1"/>
  <c r="I12" i="5" s="1"/>
  <c r="I7" i="5" l="1"/>
  <c r="I15" i="5"/>
  <c r="I11" i="5"/>
  <c r="I10" i="5"/>
  <c r="I9" i="5"/>
  <c r="I6" i="5"/>
  <c r="I14" i="5"/>
  <c r="I13" i="5"/>
  <c r="I8" i="5"/>
  <c r="F16" i="3"/>
  <c r="G7" i="4" l="1"/>
  <c r="G8" i="4"/>
  <c r="G9" i="4"/>
  <c r="F10" i="4"/>
  <c r="F11" i="4"/>
  <c r="F13" i="4"/>
  <c r="G14" i="4"/>
  <c r="G15" i="4"/>
  <c r="F16" i="4"/>
  <c r="G17" i="4"/>
  <c r="G19" i="4"/>
  <c r="G20" i="4"/>
  <c r="F21" i="4"/>
  <c r="F22" i="4"/>
  <c r="F23" i="4"/>
  <c r="G25" i="4"/>
  <c r="G26" i="4"/>
  <c r="G27" i="4"/>
  <c r="F28" i="4"/>
  <c r="G29" i="4"/>
  <c r="F31" i="4"/>
  <c r="F32" i="4"/>
  <c r="F33" i="4"/>
  <c r="F34" i="4"/>
  <c r="F35" i="4"/>
  <c r="G37" i="4"/>
  <c r="F38" i="4"/>
  <c r="G39" i="4"/>
  <c r="F40" i="4"/>
  <c r="G41" i="4"/>
  <c r="F43" i="4"/>
  <c r="G44" i="4"/>
  <c r="F45" i="4"/>
  <c r="F46" i="4"/>
  <c r="F47" i="4"/>
  <c r="F49" i="4"/>
  <c r="G50" i="4"/>
  <c r="F51" i="4"/>
  <c r="F52" i="4"/>
  <c r="G53" i="4"/>
  <c r="G54" i="4"/>
  <c r="G55" i="4"/>
  <c r="G56" i="4"/>
  <c r="F57" i="4"/>
  <c r="F58" i="4"/>
  <c r="F59" i="4"/>
  <c r="F61" i="4"/>
  <c r="G62" i="4"/>
  <c r="F63" i="4"/>
  <c r="F64" i="4"/>
  <c r="G65" i="4"/>
  <c r="G66" i="4"/>
  <c r="F67" i="4"/>
  <c r="F68" i="4"/>
  <c r="G69" i="4"/>
  <c r="F70" i="4"/>
  <c r="F71" i="4"/>
  <c r="G72" i="4"/>
  <c r="G73" i="4"/>
  <c r="F74" i="4"/>
  <c r="G75" i="4"/>
  <c r="F76" i="4"/>
  <c r="G77" i="4"/>
  <c r="G79" i="4"/>
  <c r="G80" i="4"/>
  <c r="F81" i="4"/>
  <c r="F82" i="4"/>
  <c r="F83" i="4"/>
  <c r="G84" i="4"/>
  <c r="F85" i="4"/>
  <c r="G86" i="4"/>
  <c r="G87" i="4"/>
  <c r="F88" i="4"/>
  <c r="G89" i="4"/>
  <c r="G91" i="4"/>
  <c r="G92" i="4"/>
  <c r="G93" i="4"/>
  <c r="F94" i="4"/>
  <c r="G95" i="4"/>
  <c r="G96" i="4"/>
  <c r="G97" i="4"/>
  <c r="G98" i="4"/>
  <c r="F99" i="4"/>
  <c r="F100" i="4"/>
  <c r="F101" i="4"/>
  <c r="G102" i="4"/>
  <c r="F103" i="4"/>
  <c r="F104" i="4"/>
  <c r="F105" i="4"/>
  <c r="F106" i="4"/>
  <c r="G107" i="4"/>
  <c r="G109" i="4"/>
  <c r="F110" i="4"/>
  <c r="F111" i="4"/>
  <c r="F112" i="4"/>
  <c r="F113" i="4"/>
  <c r="G114" i="4"/>
  <c r="G115" i="4"/>
  <c r="G116" i="4"/>
  <c r="G117" i="4"/>
  <c r="F118" i="4"/>
  <c r="G119" i="4"/>
  <c r="F120" i="4"/>
  <c r="F121" i="4"/>
  <c r="G122" i="4"/>
  <c r="G123" i="4"/>
  <c r="F124" i="4"/>
  <c r="G125" i="4"/>
  <c r="G126" i="4"/>
  <c r="G127" i="4"/>
  <c r="G128" i="4"/>
  <c r="G129" i="4"/>
  <c r="F130" i="4"/>
  <c r="F131" i="4"/>
  <c r="F132" i="4"/>
  <c r="G133" i="4"/>
  <c r="G134" i="4"/>
  <c r="F135" i="4"/>
  <c r="F136" i="4"/>
  <c r="G137" i="4"/>
  <c r="F139" i="4"/>
  <c r="F140" i="4"/>
  <c r="F141" i="4"/>
  <c r="F142" i="4"/>
  <c r="F143" i="4"/>
  <c r="G144" i="4"/>
  <c r="G145" i="4"/>
  <c r="F146" i="4"/>
  <c r="F147" i="4"/>
  <c r="F148" i="4"/>
  <c r="G149" i="4"/>
  <c r="G151" i="4"/>
  <c r="G152" i="4"/>
  <c r="F153" i="4"/>
  <c r="F154" i="4"/>
  <c r="G156" i="4"/>
  <c r="F157" i="4"/>
  <c r="G158" i="4"/>
  <c r="G159" i="4"/>
  <c r="F160" i="4"/>
  <c r="G161" i="4"/>
  <c r="F162" i="4"/>
  <c r="G163" i="4"/>
  <c r="G164" i="4"/>
  <c r="G165" i="4"/>
  <c r="F166" i="4"/>
  <c r="G167" i="4"/>
  <c r="G168" i="4"/>
  <c r="G169" i="4"/>
  <c r="G170" i="4"/>
  <c r="F171" i="4"/>
  <c r="F172" i="4"/>
  <c r="F173" i="4"/>
  <c r="F174" i="4"/>
  <c r="F175" i="4"/>
  <c r="F176" i="4"/>
  <c r="F177" i="4"/>
  <c r="F178" i="4"/>
  <c r="G179" i="4"/>
  <c r="G181" i="4"/>
  <c r="F182" i="4"/>
  <c r="G183" i="4"/>
  <c r="F184" i="4"/>
  <c r="G186" i="4"/>
  <c r="G187" i="4"/>
  <c r="G188" i="4"/>
  <c r="G189" i="4"/>
  <c r="F190" i="4"/>
  <c r="G191" i="4"/>
  <c r="F192" i="4"/>
  <c r="G193" i="4"/>
  <c r="G194" i="4"/>
  <c r="F195" i="4"/>
  <c r="F196" i="4"/>
  <c r="G197" i="4"/>
  <c r="G198" i="4"/>
  <c r="G199" i="4"/>
  <c r="F200" i="4"/>
  <c r="G201" i="4"/>
  <c r="F202" i="4"/>
  <c r="F203" i="4"/>
  <c r="F204" i="4"/>
  <c r="G205" i="4"/>
  <c r="G206" i="4"/>
  <c r="G207" i="4"/>
  <c r="F208" i="4"/>
  <c r="G209" i="4"/>
  <c r="G210" i="4"/>
  <c r="G211" i="4"/>
  <c r="G212" i="4"/>
  <c r="F213" i="4"/>
  <c r="F214" i="4"/>
  <c r="G215" i="4"/>
  <c r="F216" i="4"/>
  <c r="G217" i="4"/>
  <c r="F218" i="4"/>
  <c r="G219" i="4"/>
  <c r="F220" i="4"/>
  <c r="G221" i="4"/>
  <c r="G222" i="4"/>
  <c r="G223" i="4"/>
  <c r="G224" i="4"/>
  <c r="G225" i="4"/>
  <c r="F226" i="4"/>
  <c r="F227" i="4"/>
  <c r="F228" i="4"/>
  <c r="G229" i="4"/>
  <c r="G230" i="4"/>
  <c r="F231" i="4"/>
  <c r="F232" i="4"/>
  <c r="G233" i="4"/>
  <c r="F234" i="4"/>
  <c r="G235" i="4"/>
  <c r="G236" i="4"/>
  <c r="F237" i="4"/>
  <c r="F238" i="4"/>
  <c r="G239" i="4"/>
  <c r="G240" i="4"/>
  <c r="G241" i="4"/>
  <c r="G242" i="4"/>
  <c r="F243" i="4"/>
  <c r="F244" i="4"/>
  <c r="G245" i="4"/>
  <c r="F246" i="4"/>
  <c r="G247" i="4"/>
  <c r="G248" i="4"/>
  <c r="F249" i="4"/>
  <c r="F250" i="4"/>
  <c r="G251" i="4"/>
  <c r="G252" i="4"/>
  <c r="G253" i="4"/>
  <c r="G254" i="4"/>
  <c r="F255" i="4"/>
  <c r="F256" i="4"/>
  <c r="G257" i="4"/>
  <c r="G258" i="4"/>
  <c r="G259" i="4"/>
  <c r="G260" i="4"/>
  <c r="F261" i="4"/>
  <c r="G6" i="4"/>
  <c r="G11" i="4"/>
  <c r="G12" i="4"/>
  <c r="G18" i="4"/>
  <c r="G23" i="4"/>
  <c r="G24" i="4"/>
  <c r="G30" i="4"/>
  <c r="G35" i="4"/>
  <c r="G36" i="4"/>
  <c r="G42" i="4"/>
  <c r="G47" i="4"/>
  <c r="G48" i="4"/>
  <c r="G49" i="4"/>
  <c r="G59" i="4"/>
  <c r="G60" i="4"/>
  <c r="G61" i="4"/>
  <c r="G71" i="4"/>
  <c r="G78" i="4"/>
  <c r="G83" i="4"/>
  <c r="G90" i="4"/>
  <c r="G101" i="4"/>
  <c r="G108" i="4"/>
  <c r="G113" i="4"/>
  <c r="G120" i="4"/>
  <c r="G131" i="4"/>
  <c r="G132" i="4"/>
  <c r="G138" i="4"/>
  <c r="G143" i="4"/>
  <c r="G150" i="4"/>
  <c r="G155" i="4"/>
  <c r="G162" i="4"/>
  <c r="G173" i="4"/>
  <c r="G180" i="4"/>
  <c r="G185" i="4"/>
  <c r="G203" i="4"/>
  <c r="F6" i="4"/>
  <c r="F7" i="4"/>
  <c r="F12" i="4"/>
  <c r="F18" i="4"/>
  <c r="F24" i="4"/>
  <c r="F25" i="4"/>
  <c r="F29" i="4"/>
  <c r="F30" i="4"/>
  <c r="F36" i="4"/>
  <c r="F41" i="4"/>
  <c r="F42" i="4"/>
  <c r="F48" i="4"/>
  <c r="F53" i="4"/>
  <c r="F55" i="4"/>
  <c r="F60" i="4"/>
  <c r="F65" i="4"/>
  <c r="F66" i="4"/>
  <c r="F78" i="4"/>
  <c r="F90" i="4"/>
  <c r="F95" i="4"/>
  <c r="F108" i="4"/>
  <c r="F125" i="4"/>
  <c r="F126" i="4"/>
  <c r="F138" i="4"/>
  <c r="F150" i="4"/>
  <c r="F155" i="4"/>
  <c r="F168" i="4"/>
  <c r="F180" i="4"/>
  <c r="F185" i="4"/>
  <c r="G135" i="4" l="1"/>
  <c r="G204" i="4"/>
  <c r="F183" i="4"/>
  <c r="F159" i="4"/>
  <c r="F117" i="4"/>
  <c r="F69" i="4"/>
  <c r="F27" i="4"/>
  <c r="G33" i="4"/>
  <c r="F221" i="4"/>
  <c r="G227" i="4"/>
  <c r="G195" i="4"/>
  <c r="G153" i="4"/>
  <c r="G99" i="4"/>
  <c r="F93" i="4"/>
  <c r="F201" i="4"/>
  <c r="F129" i="4"/>
  <c r="G147" i="4"/>
  <c r="G111" i="4"/>
  <c r="G57" i="4"/>
  <c r="F189" i="4"/>
  <c r="G243" i="4"/>
  <c r="G141" i="4"/>
  <c r="G105" i="4"/>
  <c r="G63" i="4"/>
  <c r="F165" i="4"/>
  <c r="F123" i="4"/>
  <c r="F75" i="4"/>
  <c r="F15" i="4"/>
  <c r="G177" i="4"/>
  <c r="G81" i="4"/>
  <c r="G21" i="4"/>
  <c r="F219" i="4"/>
  <c r="F207" i="4"/>
  <c r="F39" i="4"/>
  <c r="F9" i="4"/>
  <c r="G213" i="4"/>
  <c r="G171" i="4"/>
  <c r="G45" i="4"/>
  <c r="F87" i="4"/>
  <c r="G51" i="4"/>
  <c r="F225" i="4"/>
  <c r="F198" i="4"/>
  <c r="F215" i="4"/>
  <c r="F197" i="4"/>
  <c r="F167" i="4"/>
  <c r="F137" i="4"/>
  <c r="F107" i="4"/>
  <c r="F77" i="4"/>
  <c r="F17" i="4"/>
  <c r="G216" i="4"/>
  <c r="F209" i="4"/>
  <c r="F179" i="4"/>
  <c r="F149" i="4"/>
  <c r="F89" i="4"/>
  <c r="F191" i="4"/>
  <c r="F161" i="4"/>
  <c r="G237" i="4"/>
  <c r="G192" i="4"/>
  <c r="F252" i="4"/>
  <c r="F239" i="4"/>
  <c r="F119" i="4"/>
  <c r="G231" i="4"/>
  <c r="G249" i="4"/>
  <c r="F251" i="4"/>
  <c r="F187" i="4"/>
  <c r="F169" i="4"/>
  <c r="F133" i="4"/>
  <c r="G67" i="4"/>
  <c r="F79" i="4"/>
  <c r="F19" i="4"/>
  <c r="G175" i="4"/>
  <c r="G103" i="4"/>
  <c r="G43" i="4"/>
  <c r="G13" i="4"/>
  <c r="F217" i="4"/>
  <c r="F151" i="4"/>
  <c r="F115" i="4"/>
  <c r="F37" i="4"/>
  <c r="G31" i="4"/>
  <c r="G121" i="4"/>
  <c r="G85" i="4"/>
  <c r="F222" i="4"/>
  <c r="F210" i="4"/>
  <c r="F109" i="4"/>
  <c r="F97" i="4"/>
  <c r="F73" i="4"/>
  <c r="G261" i="4"/>
  <c r="G228" i="4"/>
  <c r="G157" i="4"/>
  <c r="F181" i="4"/>
  <c r="F145" i="4"/>
  <c r="G255" i="4"/>
  <c r="G139" i="4"/>
  <c r="F156" i="4"/>
  <c r="F116" i="4"/>
  <c r="F186" i="4"/>
  <c r="F96" i="4"/>
  <c r="G234" i="4"/>
  <c r="G176" i="4"/>
  <c r="F245" i="4"/>
  <c r="F233" i="4"/>
  <c r="F223" i="4"/>
  <c r="F102" i="4"/>
  <c r="F72" i="4"/>
  <c r="G246" i="4"/>
  <c r="G174" i="4"/>
  <c r="F258" i="4"/>
  <c r="F240" i="4"/>
  <c r="G68" i="4"/>
  <c r="F84" i="4"/>
  <c r="F224" i="4"/>
  <c r="F205" i="4"/>
  <c r="F144" i="4"/>
  <c r="F114" i="4"/>
  <c r="F54" i="4"/>
  <c r="F80" i="4"/>
  <c r="G32" i="4"/>
  <c r="F254" i="4"/>
  <c r="F241" i="4"/>
  <c r="F152" i="4"/>
  <c r="G104" i="4"/>
  <c r="F188" i="4"/>
  <c r="F44" i="4"/>
  <c r="F8" i="4"/>
  <c r="G140" i="4"/>
  <c r="F253" i="4"/>
  <c r="E262" i="4"/>
  <c r="I1" i="3" s="1"/>
  <c r="I7" i="3" s="1"/>
  <c r="F158" i="4"/>
  <c r="G200" i="4"/>
  <c r="G110" i="4"/>
  <c r="G38" i="4"/>
  <c r="F122" i="4"/>
  <c r="F86" i="4"/>
  <c r="F14" i="4"/>
  <c r="G218" i="4"/>
  <c r="G74" i="4"/>
  <c r="F260" i="4"/>
  <c r="F236" i="4"/>
  <c r="F229" i="4"/>
  <c r="F193" i="4"/>
  <c r="F164" i="4"/>
  <c r="F128" i="4"/>
  <c r="F92" i="4"/>
  <c r="F56" i="4"/>
  <c r="F20" i="4"/>
  <c r="F230" i="4"/>
  <c r="F194" i="4"/>
  <c r="F50" i="4"/>
  <c r="G146" i="4"/>
  <c r="F259" i="4"/>
  <c r="F242" i="4"/>
  <c r="F235" i="4"/>
  <c r="F206" i="4"/>
  <c r="F199" i="4"/>
  <c r="F170" i="4"/>
  <c r="F163" i="4"/>
  <c r="F134" i="4"/>
  <c r="F127" i="4"/>
  <c r="F98" i="4"/>
  <c r="F91" i="4"/>
  <c r="F62" i="4"/>
  <c r="F26" i="4"/>
  <c r="G182" i="4"/>
  <c r="F248" i="4"/>
  <c r="F212" i="4"/>
  <c r="F257" i="4"/>
  <c r="F247" i="4"/>
  <c r="F211" i="4"/>
  <c r="G256" i="4"/>
  <c r="G250" i="4"/>
  <c r="G244" i="4"/>
  <c r="G238" i="4"/>
  <c r="G232" i="4"/>
  <c r="G226" i="4"/>
  <c r="G220" i="4"/>
  <c r="G214" i="4"/>
  <c r="G208" i="4"/>
  <c r="G202" i="4"/>
  <c r="G196" i="4"/>
  <c r="G190" i="4"/>
  <c r="G184" i="4"/>
  <c r="G178" i="4"/>
  <c r="G172" i="4"/>
  <c r="G166" i="4"/>
  <c r="G160" i="4"/>
  <c r="G154" i="4"/>
  <c r="G148" i="4"/>
  <c r="G142" i="4"/>
  <c r="G136" i="4"/>
  <c r="G130" i="4"/>
  <c r="G124" i="4"/>
  <c r="G118" i="4"/>
  <c r="G112" i="4"/>
  <c r="G106" i="4"/>
  <c r="G100" i="4"/>
  <c r="G94" i="4"/>
  <c r="G88" i="4"/>
  <c r="G82" i="4"/>
  <c r="G76" i="4"/>
  <c r="G70" i="4"/>
  <c r="G64" i="4"/>
  <c r="G58" i="4"/>
  <c r="G52" i="4"/>
  <c r="G46" i="4"/>
  <c r="G40" i="4"/>
  <c r="G34" i="4"/>
  <c r="G28" i="4"/>
  <c r="G22" i="4"/>
  <c r="G16" i="4"/>
  <c r="G10" i="4"/>
  <c r="I14" i="3" l="1"/>
  <c r="I10" i="3"/>
  <c r="I12" i="3"/>
  <c r="I8" i="3"/>
  <c r="I9" i="3"/>
  <c r="I6" i="3"/>
  <c r="I13" i="3"/>
  <c r="I11" i="3"/>
  <c r="I15" i="3"/>
  <c r="F13" i="2"/>
  <c r="H8" i="1" l="1"/>
  <c r="G6" i="1"/>
  <c r="G7" i="1"/>
  <c r="G9" i="1"/>
  <c r="G10" i="1"/>
  <c r="G5" i="1"/>
  <c r="M5" i="2"/>
  <c r="M6" i="2"/>
  <c r="M7" i="2"/>
  <c r="M8" i="2"/>
  <c r="M9" i="2"/>
  <c r="M10" i="2"/>
  <c r="M11" i="2"/>
  <c r="M12" i="2"/>
  <c r="L6" i="2"/>
  <c r="L7" i="2"/>
  <c r="L8" i="2"/>
  <c r="L9" i="2"/>
  <c r="L10" i="2"/>
  <c r="L11" i="2"/>
  <c r="L12" i="2"/>
  <c r="L5" i="2"/>
  <c r="E13" i="2"/>
  <c r="D13" i="2"/>
  <c r="C13" i="2"/>
  <c r="F5" i="4"/>
  <c r="G5" i="4"/>
  <c r="D262" i="4"/>
  <c r="C262" i="4"/>
  <c r="B262" i="4"/>
  <c r="M8" i="7"/>
  <c r="L8" i="7"/>
  <c r="K8" i="7"/>
  <c r="J8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5" i="6"/>
  <c r="D71" i="6"/>
  <c r="C71" i="6"/>
  <c r="B71" i="6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5" i="8"/>
  <c r="D37" i="8"/>
  <c r="C37" i="8"/>
  <c r="B37" i="8"/>
  <c r="M6" i="7"/>
  <c r="M7" i="7"/>
  <c r="M15" i="7"/>
  <c r="M9" i="7"/>
  <c r="M10" i="7"/>
  <c r="M11" i="7"/>
  <c r="M12" i="7"/>
  <c r="M14" i="7"/>
  <c r="M13" i="7"/>
  <c r="L6" i="7"/>
  <c r="L7" i="7"/>
  <c r="L15" i="7"/>
  <c r="L9" i="7"/>
  <c r="L10" i="7"/>
  <c r="L11" i="7"/>
  <c r="L12" i="7"/>
  <c r="L14" i="7"/>
  <c r="L13" i="7"/>
  <c r="K13" i="7"/>
  <c r="K14" i="7"/>
  <c r="K12" i="7"/>
  <c r="K11" i="7"/>
  <c r="K10" i="7"/>
  <c r="K9" i="7"/>
  <c r="K15" i="7"/>
  <c r="K7" i="7"/>
  <c r="K6" i="7"/>
  <c r="J6" i="7"/>
  <c r="J7" i="7"/>
  <c r="J15" i="7"/>
  <c r="J9" i="7"/>
  <c r="J10" i="7"/>
  <c r="J11" i="7"/>
  <c r="J12" i="7"/>
  <c r="J14" i="7"/>
  <c r="J13" i="7"/>
  <c r="M7" i="5"/>
  <c r="L7" i="5"/>
  <c r="K7" i="5"/>
  <c r="J7" i="5"/>
  <c r="M6" i="5"/>
  <c r="M9" i="5"/>
  <c r="M12" i="5"/>
  <c r="M10" i="5"/>
  <c r="M8" i="5"/>
  <c r="M11" i="5"/>
  <c r="M13" i="5"/>
  <c r="M14" i="5"/>
  <c r="M15" i="5"/>
  <c r="L6" i="5"/>
  <c r="L9" i="5"/>
  <c r="L12" i="5"/>
  <c r="L10" i="5"/>
  <c r="L8" i="5"/>
  <c r="L11" i="5"/>
  <c r="L13" i="5"/>
  <c r="L14" i="5"/>
  <c r="L15" i="5"/>
  <c r="K6" i="5"/>
  <c r="K9" i="5"/>
  <c r="K12" i="5"/>
  <c r="K10" i="5"/>
  <c r="K8" i="5"/>
  <c r="K11" i="5"/>
  <c r="K13" i="5"/>
  <c r="K14" i="5"/>
  <c r="K15" i="5"/>
  <c r="J6" i="5"/>
  <c r="J9" i="5"/>
  <c r="J12" i="5"/>
  <c r="J10" i="5"/>
  <c r="J8" i="5"/>
  <c r="J11" i="5"/>
  <c r="J13" i="5"/>
  <c r="J14" i="5"/>
  <c r="J15" i="5"/>
  <c r="M6" i="3"/>
  <c r="M7" i="3"/>
  <c r="M10" i="3"/>
  <c r="M8" i="3"/>
  <c r="M9" i="3"/>
  <c r="M15" i="3"/>
  <c r="M11" i="3"/>
  <c r="M13" i="3"/>
  <c r="M14" i="3"/>
  <c r="M12" i="3"/>
  <c r="L6" i="3"/>
  <c r="L7" i="3"/>
  <c r="L10" i="3"/>
  <c r="L8" i="3"/>
  <c r="L9" i="3"/>
  <c r="L15" i="3"/>
  <c r="L11" i="3"/>
  <c r="L13" i="3"/>
  <c r="L14" i="3"/>
  <c r="L12" i="3"/>
  <c r="K6" i="3"/>
  <c r="K7" i="3"/>
  <c r="K10" i="3"/>
  <c r="K8" i="3"/>
  <c r="K9" i="3"/>
  <c r="K15" i="3"/>
  <c r="K11" i="3"/>
  <c r="K13" i="3"/>
  <c r="K14" i="3"/>
  <c r="K12" i="3"/>
  <c r="J6" i="3"/>
  <c r="J7" i="3"/>
  <c r="J10" i="3"/>
  <c r="J8" i="3"/>
  <c r="J9" i="3"/>
  <c r="J15" i="3"/>
  <c r="J11" i="3"/>
  <c r="J13" i="3"/>
  <c r="J14" i="3"/>
  <c r="J12" i="3"/>
  <c r="K5" i="2"/>
  <c r="K6" i="2"/>
  <c r="K7" i="2"/>
  <c r="K8" i="2"/>
  <c r="K9" i="2"/>
  <c r="K10" i="2"/>
  <c r="K11" i="2"/>
  <c r="K12" i="2"/>
  <c r="J5" i="2"/>
  <c r="J6" i="2"/>
  <c r="J7" i="2"/>
  <c r="J8" i="2"/>
  <c r="J9" i="2"/>
  <c r="J10" i="2"/>
  <c r="J11" i="2"/>
  <c r="J12" i="2"/>
  <c r="H6" i="1"/>
  <c r="H7" i="1"/>
  <c r="H9" i="1"/>
  <c r="H10" i="1"/>
  <c r="H5" i="1"/>
  <c r="E11" i="1"/>
  <c r="D11" i="1"/>
  <c r="C11" i="1"/>
  <c r="H8" i="7"/>
  <c r="H6" i="7"/>
  <c r="H7" i="7"/>
  <c r="H15" i="7"/>
  <c r="H9" i="7"/>
  <c r="H10" i="7"/>
  <c r="H11" i="7"/>
  <c r="H12" i="7"/>
  <c r="H14" i="7"/>
  <c r="H13" i="7"/>
  <c r="E16" i="7"/>
  <c r="D16" i="7"/>
  <c r="C16" i="7"/>
  <c r="E16" i="5"/>
  <c r="D16" i="5"/>
  <c r="C16" i="5"/>
  <c r="E16" i="3"/>
  <c r="D16" i="3"/>
  <c r="C16" i="3"/>
  <c r="F11" i="1" l="1"/>
  <c r="G8" i="1"/>
  <c r="F37" i="8"/>
  <c r="H30" i="8" s="1"/>
  <c r="G37" i="8"/>
  <c r="H11" i="1"/>
  <c r="H7" i="8" l="1"/>
  <c r="H23" i="8"/>
  <c r="H9" i="8"/>
  <c r="H25" i="8"/>
  <c r="H6" i="8"/>
  <c r="H22" i="8"/>
  <c r="H11" i="8"/>
  <c r="H27" i="8"/>
  <c r="H13" i="8"/>
  <c r="H29" i="8"/>
  <c r="H10" i="8"/>
  <c r="H26" i="8"/>
  <c r="H15" i="8"/>
  <c r="H31" i="8"/>
  <c r="H17" i="8"/>
  <c r="H33" i="8"/>
  <c r="H14" i="8"/>
  <c r="H16" i="8"/>
  <c r="H24" i="8"/>
  <c r="H36" i="8"/>
  <c r="H12" i="8"/>
  <c r="H20" i="8"/>
  <c r="H32" i="8"/>
  <c r="H8" i="8"/>
  <c r="H28" i="8"/>
  <c r="H19" i="8"/>
  <c r="H35" i="8"/>
  <c r="H21" i="8"/>
  <c r="H5" i="8"/>
  <c r="H18" i="8"/>
  <c r="H34" i="8"/>
  <c r="G14" i="7"/>
  <c r="G13" i="7"/>
  <c r="G12" i="7"/>
  <c r="G11" i="7"/>
  <c r="G10" i="7"/>
  <c r="G15" i="7"/>
  <c r="G7" i="7"/>
  <c r="G9" i="7"/>
  <c r="G8" i="7"/>
  <c r="G6" i="7"/>
  <c r="G15" i="5"/>
  <c r="G11" i="5"/>
  <c r="G14" i="5"/>
  <c r="G12" i="5"/>
  <c r="G13" i="5"/>
  <c r="G10" i="5"/>
  <c r="G8" i="5"/>
  <c r="G7" i="5"/>
  <c r="G9" i="5"/>
  <c r="G6" i="5"/>
  <c r="H12" i="3"/>
  <c r="G12" i="3"/>
  <c r="H14" i="3"/>
  <c r="G14" i="3"/>
  <c r="H15" i="3"/>
  <c r="G15" i="3"/>
  <c r="H10" i="3"/>
  <c r="G10" i="3"/>
  <c r="H6" i="3"/>
  <c r="H9" i="3"/>
  <c r="G9" i="3"/>
  <c r="H8" i="3"/>
  <c r="G8" i="3"/>
  <c r="H11" i="3"/>
  <c r="G11" i="3"/>
  <c r="H7" i="3"/>
  <c r="G7" i="3"/>
  <c r="H13" i="3"/>
  <c r="G13" i="3"/>
  <c r="L9" i="1"/>
  <c r="M8" i="1"/>
  <c r="M7" i="1"/>
  <c r="M6" i="1"/>
  <c r="H13" i="2" l="1"/>
  <c r="H37" i="8"/>
  <c r="G13" i="2"/>
  <c r="F262" i="4"/>
  <c r="G262" i="4"/>
  <c r="G71" i="6"/>
  <c r="F71" i="6"/>
  <c r="G11" i="1"/>
  <c r="I6" i="1" s="1"/>
  <c r="H16" i="5"/>
  <c r="G16" i="7"/>
  <c r="H16" i="7"/>
  <c r="G16" i="5"/>
  <c r="I16" i="3"/>
  <c r="I17" i="3" s="1"/>
  <c r="G16" i="3"/>
  <c r="H16" i="3"/>
  <c r="I7" i="2" l="1"/>
  <c r="I11" i="2"/>
  <c r="I10" i="2"/>
  <c r="I12" i="2"/>
  <c r="I6" i="2"/>
  <c r="I8" i="2"/>
  <c r="I9" i="2"/>
  <c r="I5" i="2"/>
  <c r="H245" i="4"/>
  <c r="H137" i="4"/>
  <c r="H251" i="4"/>
  <c r="H17" i="4"/>
  <c r="H23" i="4"/>
  <c r="H29" i="4"/>
  <c r="H35" i="4"/>
  <c r="H41" i="4"/>
  <c r="H47" i="4"/>
  <c r="H53" i="4"/>
  <c r="H59" i="4"/>
  <c r="H65" i="4"/>
  <c r="H71" i="4"/>
  <c r="H77" i="4"/>
  <c r="H83" i="4"/>
  <c r="H89" i="4"/>
  <c r="H95" i="4"/>
  <c r="H101" i="4"/>
  <c r="H107" i="4"/>
  <c r="H113" i="4"/>
  <c r="H119" i="4"/>
  <c r="H125" i="4"/>
  <c r="H131" i="4"/>
  <c r="H143" i="4"/>
  <c r="H149" i="4"/>
  <c r="H155" i="4"/>
  <c r="H161" i="4"/>
  <c r="H167" i="4"/>
  <c r="H173" i="4"/>
  <c r="H179" i="4"/>
  <c r="H185" i="4"/>
  <c r="H191" i="4"/>
  <c r="H197" i="4"/>
  <c r="H203" i="4"/>
  <c r="H209" i="4"/>
  <c r="H215" i="4"/>
  <c r="H221" i="4"/>
  <c r="H227" i="4"/>
  <c r="H233" i="4"/>
  <c r="H239" i="4"/>
  <c r="H257" i="4"/>
  <c r="H252" i="4"/>
  <c r="H216" i="4"/>
  <c r="H180" i="4"/>
  <c r="H144" i="4"/>
  <c r="H108" i="4"/>
  <c r="H72" i="4"/>
  <c r="H36" i="4"/>
  <c r="H256" i="4"/>
  <c r="H220" i="4"/>
  <c r="H184" i="4"/>
  <c r="H148" i="4"/>
  <c r="H255" i="4"/>
  <c r="H231" i="4"/>
  <c r="H135" i="4"/>
  <c r="H57" i="4"/>
  <c r="H212" i="4"/>
  <c r="H152" i="4"/>
  <c r="H92" i="4"/>
  <c r="H50" i="4"/>
  <c r="H8" i="4"/>
  <c r="H229" i="4"/>
  <c r="H193" i="4"/>
  <c r="H157" i="4"/>
  <c r="H121" i="4"/>
  <c r="H85" i="4"/>
  <c r="H49" i="4"/>
  <c r="H13" i="4"/>
  <c r="H94" i="4"/>
  <c r="H58" i="4"/>
  <c r="H22" i="4"/>
  <c r="H141" i="4"/>
  <c r="H39" i="4"/>
  <c r="H183" i="4"/>
  <c r="H75" i="4"/>
  <c r="H206" i="4"/>
  <c r="H122" i="4"/>
  <c r="H246" i="4"/>
  <c r="H210" i="4"/>
  <c r="H174" i="4"/>
  <c r="H138" i="4"/>
  <c r="H102" i="4"/>
  <c r="H66" i="4"/>
  <c r="H30" i="4"/>
  <c r="H250" i="4"/>
  <c r="H214" i="4"/>
  <c r="H178" i="4"/>
  <c r="H142" i="4"/>
  <c r="H249" i="4"/>
  <c r="H207" i="4"/>
  <c r="H123" i="4"/>
  <c r="H15" i="4"/>
  <c r="H200" i="4"/>
  <c r="H140" i="4"/>
  <c r="H86" i="4"/>
  <c r="H44" i="4"/>
  <c r="H259" i="4"/>
  <c r="H223" i="4"/>
  <c r="H187" i="4"/>
  <c r="H151" i="4"/>
  <c r="H115" i="4"/>
  <c r="H79" i="4"/>
  <c r="H43" i="4"/>
  <c r="H7" i="4"/>
  <c r="H88" i="4"/>
  <c r="H52" i="4"/>
  <c r="H16" i="4"/>
  <c r="H117" i="4"/>
  <c r="H33" i="4"/>
  <c r="H165" i="4"/>
  <c r="H21" i="4"/>
  <c r="H188" i="4"/>
  <c r="H104" i="4"/>
  <c r="H204" i="4"/>
  <c r="H132" i="4"/>
  <c r="H60" i="4"/>
  <c r="H244" i="4"/>
  <c r="H172" i="4"/>
  <c r="H243" i="4"/>
  <c r="H105" i="4"/>
  <c r="H194" i="4"/>
  <c r="H74" i="4"/>
  <c r="H253" i="4"/>
  <c r="H181" i="4"/>
  <c r="H109" i="4"/>
  <c r="H37" i="4"/>
  <c r="H228" i="4"/>
  <c r="H192" i="4"/>
  <c r="H156" i="4"/>
  <c r="H120" i="4"/>
  <c r="H84" i="4"/>
  <c r="H48" i="4"/>
  <c r="H12" i="4"/>
  <c r="H232" i="4"/>
  <c r="H196" i="4"/>
  <c r="H160" i="4"/>
  <c r="H124" i="4"/>
  <c r="H118" i="4"/>
  <c r="H171" i="4"/>
  <c r="H81" i="4"/>
  <c r="H230" i="4"/>
  <c r="H170" i="4"/>
  <c r="H110" i="4"/>
  <c r="H62" i="4"/>
  <c r="H26" i="4"/>
  <c r="H241" i="4"/>
  <c r="H205" i="4"/>
  <c r="H169" i="4"/>
  <c r="H133" i="4"/>
  <c r="H97" i="4"/>
  <c r="H61" i="4"/>
  <c r="H25" i="4"/>
  <c r="H106" i="4"/>
  <c r="H70" i="4"/>
  <c r="H34" i="4"/>
  <c r="H189" i="4"/>
  <c r="H51" i="4"/>
  <c r="H219" i="4"/>
  <c r="H111" i="4"/>
  <c r="H236" i="4"/>
  <c r="H146" i="4"/>
  <c r="H258" i="4"/>
  <c r="H222" i="4"/>
  <c r="H186" i="4"/>
  <c r="H150" i="4"/>
  <c r="H114" i="4"/>
  <c r="H78" i="4"/>
  <c r="H42" i="4"/>
  <c r="H6" i="4"/>
  <c r="H226" i="4"/>
  <c r="H190" i="4"/>
  <c r="H154" i="4"/>
  <c r="H261" i="4"/>
  <c r="H237" i="4"/>
  <c r="H153" i="4"/>
  <c r="H63" i="4"/>
  <c r="H224" i="4"/>
  <c r="H158" i="4"/>
  <c r="H98" i="4"/>
  <c r="H56" i="4"/>
  <c r="H20" i="4"/>
  <c r="H235" i="4"/>
  <c r="H199" i="4"/>
  <c r="H163" i="4"/>
  <c r="H127" i="4"/>
  <c r="H91" i="4"/>
  <c r="H55" i="4"/>
  <c r="H19" i="4"/>
  <c r="H100" i="4"/>
  <c r="H64" i="4"/>
  <c r="H28" i="4"/>
  <c r="H159" i="4"/>
  <c r="H45" i="4"/>
  <c r="H201" i="4"/>
  <c r="H99" i="4"/>
  <c r="H218" i="4"/>
  <c r="H134" i="4"/>
  <c r="H240" i="4"/>
  <c r="H168" i="4"/>
  <c r="H96" i="4"/>
  <c r="H24" i="4"/>
  <c r="H208" i="4"/>
  <c r="H136" i="4"/>
  <c r="H195" i="4"/>
  <c r="H254" i="4"/>
  <c r="H128" i="4"/>
  <c r="H38" i="4"/>
  <c r="H217" i="4"/>
  <c r="H145" i="4"/>
  <c r="H73" i="4"/>
  <c r="H11" i="4"/>
  <c r="H54" i="4"/>
  <c r="H225" i="4"/>
  <c r="H68" i="4"/>
  <c r="H103" i="4"/>
  <c r="H46" i="4"/>
  <c r="H27" i="4"/>
  <c r="H176" i="4"/>
  <c r="H234" i="4"/>
  <c r="H18" i="4"/>
  <c r="H177" i="4"/>
  <c r="H32" i="4"/>
  <c r="H67" i="4"/>
  <c r="H40" i="4"/>
  <c r="H9" i="4"/>
  <c r="H164" i="4"/>
  <c r="H198" i="4"/>
  <c r="H238" i="4"/>
  <c r="H93" i="4"/>
  <c r="H247" i="4"/>
  <c r="H31" i="4"/>
  <c r="H10" i="4"/>
  <c r="H147" i="4"/>
  <c r="H80" i="4"/>
  <c r="H162" i="4"/>
  <c r="H202" i="4"/>
  <c r="H242" i="4"/>
  <c r="H211" i="4"/>
  <c r="H112" i="4"/>
  <c r="H213" i="4"/>
  <c r="H129" i="4"/>
  <c r="H14" i="4"/>
  <c r="H126" i="4"/>
  <c r="H166" i="4"/>
  <c r="H182" i="4"/>
  <c r="H175" i="4"/>
  <c r="H82" i="4"/>
  <c r="H87" i="4"/>
  <c r="H260" i="4"/>
  <c r="H90" i="4"/>
  <c r="H130" i="4"/>
  <c r="H116" i="4"/>
  <c r="H139" i="4"/>
  <c r="H76" i="4"/>
  <c r="H69" i="4"/>
  <c r="H248" i="4"/>
  <c r="I10" i="1"/>
  <c r="I9" i="1"/>
  <c r="I5" i="1"/>
  <c r="I7" i="1"/>
  <c r="I8" i="1"/>
  <c r="H5" i="4"/>
  <c r="H8" i="6"/>
  <c r="H20" i="6"/>
  <c r="H32" i="6"/>
  <c r="H40" i="6"/>
  <c r="H48" i="6"/>
  <c r="H56" i="6"/>
  <c r="H64" i="6"/>
  <c r="H12" i="6"/>
  <c r="H16" i="6"/>
  <c r="H24" i="6"/>
  <c r="H28" i="6"/>
  <c r="H36" i="6"/>
  <c r="H44" i="6"/>
  <c r="H52" i="6"/>
  <c r="H60" i="6"/>
  <c r="H68" i="6"/>
  <c r="H69" i="6"/>
  <c r="H53" i="6"/>
  <c r="H37" i="6"/>
  <c r="H21" i="6"/>
  <c r="H5" i="6"/>
  <c r="H55" i="6"/>
  <c r="H39" i="6"/>
  <c r="H23" i="6"/>
  <c r="H7" i="6"/>
  <c r="H58" i="6"/>
  <c r="H42" i="6"/>
  <c r="H26" i="6"/>
  <c r="H10" i="6"/>
  <c r="H65" i="6"/>
  <c r="H49" i="6"/>
  <c r="H33" i="6"/>
  <c r="H17" i="6"/>
  <c r="H67" i="6"/>
  <c r="H51" i="6"/>
  <c r="H35" i="6"/>
  <c r="H19" i="6"/>
  <c r="H70" i="6"/>
  <c r="H54" i="6"/>
  <c r="H38" i="6"/>
  <c r="H22" i="6"/>
  <c r="H6" i="6"/>
  <c r="H61" i="6"/>
  <c r="H45" i="6"/>
  <c r="H29" i="6"/>
  <c r="H13" i="6"/>
  <c r="H63" i="6"/>
  <c r="H47" i="6"/>
  <c r="H31" i="6"/>
  <c r="H15" i="6"/>
  <c r="H66" i="6"/>
  <c r="H50" i="6"/>
  <c r="H34" i="6"/>
  <c r="H18" i="6"/>
  <c r="H57" i="6"/>
  <c r="H41" i="6"/>
  <c r="H25" i="6"/>
  <c r="H9" i="6"/>
  <c r="H59" i="6"/>
  <c r="H43" i="6"/>
  <c r="H27" i="6"/>
  <c r="H11" i="6"/>
  <c r="H62" i="6"/>
  <c r="H46" i="6"/>
  <c r="H30" i="6"/>
  <c r="H14" i="6"/>
  <c r="I16" i="7"/>
  <c r="I17" i="7" s="1"/>
  <c r="I16" i="5"/>
  <c r="I17" i="5" s="1"/>
  <c r="I11" i="1" l="1"/>
  <c r="I13" i="2"/>
  <c r="H262" i="4"/>
  <c r="H71" i="6"/>
</calcChain>
</file>

<file path=xl/sharedStrings.xml><?xml version="1.0" encoding="utf-8"?>
<sst xmlns="http://schemas.openxmlformats.org/spreadsheetml/2006/main" count="602" uniqueCount="422">
  <si>
    <t>Controladoria Geral do Município - Ouvidoria Geral</t>
  </si>
  <si>
    <t>SIGRC - Sistema Integrado de Gerenciamento e Relacionamento com o Cidadão</t>
  </si>
  <si>
    <t>4° trim 2024</t>
  </si>
  <si>
    <t>Tipos de Manifestação</t>
  </si>
  <si>
    <t>1º Trimestre de 2025</t>
  </si>
  <si>
    <t>2º Trimestre de 2025</t>
  </si>
  <si>
    <t>3º Trimestre de 2025</t>
  </si>
  <si>
    <t>4º Trimestre de 2025</t>
  </si>
  <si>
    <t>Total</t>
  </si>
  <si>
    <t>Média</t>
  </si>
  <si>
    <t>%Total</t>
  </si>
  <si>
    <t>Trimestres</t>
  </si>
  <si>
    <t>variação**</t>
  </si>
  <si>
    <t>Reclamação</t>
  </si>
  <si>
    <t>1º trim 2025</t>
  </si>
  <si>
    <t>Denúncia</t>
  </si>
  <si>
    <t>2º trim 2025</t>
  </si>
  <si>
    <t>Solicitação</t>
  </si>
  <si>
    <t>3º trim 2025</t>
  </si>
  <si>
    <t>Elogio</t>
  </si>
  <si>
    <t>4º trim 2025</t>
  </si>
  <si>
    <t>Sugestão</t>
  </si>
  <si>
    <t>Manifestações sobre o BRT Aricanduva*</t>
  </si>
  <si>
    <t>* A opção do serviço "Manifestações sobre o BRT Aricanduva", referente à obra de implantação do BRT Aricanduva e do novo Centro de Operações da SPTrans (COP), foi incluída o Portal SP156 em outubro de 2024.</t>
  </si>
  <si>
    <t>** Variação percentual em relação ao trimestre imediatamente anterior</t>
  </si>
  <si>
    <t>ATENDIMENTOS</t>
  </si>
  <si>
    <t>1° trim 2025</t>
  </si>
  <si>
    <t>2° trim 2025</t>
  </si>
  <si>
    <t>3° trim 2025</t>
  </si>
  <si>
    <t>4° trim 2025</t>
  </si>
  <si>
    <t>Portal</t>
  </si>
  <si>
    <t>E-mail</t>
  </si>
  <si>
    <t>Central SP156</t>
  </si>
  <si>
    <t>Zap Denúncia</t>
  </si>
  <si>
    <t>Encaminhamento de outros órgãos (Processo SEI, Memorando, Ofício, etc.)</t>
  </si>
  <si>
    <t>Presencial</t>
  </si>
  <si>
    <t>App SP156*</t>
  </si>
  <si>
    <t>Carta</t>
  </si>
  <si>
    <t xml:space="preserve">* Em 23/01/2025 foram incluídos no App SP156 os formulários de denúncias e manifestações sobre o BRT Aricanduva. A partir de 10/03/2025, devido a questões técnicas que impactavam o funcionamento (exibição de campos e regras de negócio), os serviços foram temporariamente desativados. Em 17/09/2025, os formulários foram normalizados e voltaram a funcionar.
</t>
  </si>
  <si>
    <t>Assuntos - 10 mais solicitados de 2025</t>
  </si>
  <si>
    <t>ASSUNTO (Guia Portal 156)*</t>
  </si>
  <si>
    <t>Multas de trânsito e guinchamentos</t>
  </si>
  <si>
    <t>Qualidade de atendimento</t>
  </si>
  <si>
    <t>Processo Administrativo</t>
  </si>
  <si>
    <t>Árvore</t>
  </si>
  <si>
    <t>Ônibus</t>
  </si>
  <si>
    <t>Cadastro Único (CadÚnico)</t>
  </si>
  <si>
    <t>Buraco e Pavimentação</t>
  </si>
  <si>
    <t>Órgão externo</t>
  </si>
  <si>
    <t>Poluição sonora - PSIU</t>
  </si>
  <si>
    <t>Ponto viciado, entulho e caçamba de entulho</t>
  </si>
  <si>
    <t>Total dos 10 Assuntos + Demandados</t>
  </si>
  <si>
    <t>Outros</t>
  </si>
  <si>
    <t>%total</t>
  </si>
  <si>
    <r>
      <t xml:space="preserve">* Em decorrência da troca de sistema ocorrida em dezembro de 2016, a metodologia atualmente aplicada para a classificação dos assuntos segue a Guia de Serviços do Portal 156. As </t>
    </r>
    <r>
      <rPr>
        <b/>
        <sz val="10"/>
        <color rgb="FF000000"/>
        <rFont val="Arial"/>
        <family val="2"/>
      </rPr>
      <t>denúncias</t>
    </r>
    <r>
      <rPr>
        <sz val="10"/>
        <color rgb="FF00000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</si>
  <si>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https://capital.sp.gov.br/web/ouvidoria/w/relatorios_mensais/144782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</si>
  <si>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</si>
  <si>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</si>
  <si>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</si>
  <si>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</si>
  <si>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</si>
  <si>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</si>
  <si>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</si>
  <si>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</si>
  <si>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</si>
  <si>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</si>
  <si>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</si>
  <si>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</si>
  <si>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</si>
  <si>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</si>
  <si>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</si>
  <si>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</si>
  <si>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</si>
  <si>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</si>
  <si>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</si>
  <si>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</si>
  <si>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</si>
  <si>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</si>
  <si>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</si>
  <si>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</si>
  <si>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</si>
  <si>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</si>
  <si>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</si>
  <si>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</si>
  <si>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</si>
  <si>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</si>
  <si>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</si>
  <si>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</si>
  <si>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</si>
  <si>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</si>
  <si>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</si>
  <si>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</si>
  <si>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</si>
  <si>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</si>
  <si>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</si>
  <si>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Cadastro de Prestadores de Outros Municípios</t>
  </si>
  <si>
    <t>Cadastro Municipal de Vigilância em Saúde - CMVS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</si>
  <si>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</si>
  <si>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</si>
  <si>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</si>
  <si>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</si>
  <si>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</si>
  <si>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</si>
  <si>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</si>
  <si>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</si>
  <si>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</si>
  <si>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</si>
  <si>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</si>
  <si>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</si>
  <si>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</si>
  <si>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</si>
  <si>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</si>
  <si>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</si>
  <si>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</si>
  <si>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</si>
  <si>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</si>
  <si>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</si>
  <si>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</si>
  <si>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</si>
  <si>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</si>
  <si>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</si>
  <si>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</si>
  <si>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</si>
  <si>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</si>
  <si>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</si>
  <si>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</si>
  <si>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</si>
  <si>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</si>
  <si>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</si>
  <si>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</si>
  <si>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</si>
  <si>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</si>
  <si>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</si>
  <si>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</si>
  <si>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</si>
  <si>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</si>
  <si>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</si>
  <si>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</si>
  <si>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</si>
  <si>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</si>
  <si>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</si>
  <si>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</si>
  <si>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</si>
  <si>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</si>
  <si>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</si>
  <si>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</si>
  <si>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</si>
  <si>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</si>
  <si>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</si>
  <si>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</si>
  <si>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</si>
  <si>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</si>
  <si>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</si>
  <si>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</si>
  <si>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</si>
  <si>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</si>
  <si>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</si>
  <si>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</si>
  <si>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</si>
  <si>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</si>
  <si>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</si>
  <si>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</si>
  <si>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</si>
  <si>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</si>
  <si>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</si>
  <si>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</si>
  <si>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</si>
  <si>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</si>
  <si>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</si>
  <si>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</si>
  <si>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</si>
  <si>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</si>
  <si>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</si>
  <si>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</si>
  <si>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</si>
  <si>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</si>
  <si>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</si>
  <si>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</si>
  <si>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</si>
  <si>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</si>
  <si>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</si>
  <si>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</si>
  <si>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</si>
  <si>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</si>
  <si>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</si>
  <si>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</si>
  <si>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</si>
  <si>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</si>
  <si>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</si>
  <si>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</si>
  <si>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</si>
  <si>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</si>
  <si>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</si>
  <si>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</si>
  <si>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</si>
  <si>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</si>
  <si>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</si>
  <si>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</si>
  <si>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</si>
  <si>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</si>
  <si>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</si>
  <si>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</si>
  <si>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</si>
  <si>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</si>
  <si>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</si>
  <si>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</si>
  <si>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</si>
  <si>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</si>
  <si>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</si>
  <si>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</si>
  <si>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</si>
  <si>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</si>
  <si>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</si>
  <si>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</si>
  <si>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</si>
  <si>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</si>
  <si>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</si>
  <si>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</si>
  <si>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</si>
  <si>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</si>
  <si>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</si>
  <si>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</si>
  <si>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</si>
  <si>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</si>
  <si>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</si>
  <si>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</si>
  <si>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</si>
  <si>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</si>
  <si>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</si>
  <si>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</si>
  <si>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</si>
  <si>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</si>
  <si>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</si>
  <si>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</si>
  <si>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</si>
  <si>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</si>
  <si>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</si>
  <si>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</si>
  <si>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</si>
  <si>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</si>
  <si>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</si>
  <si>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</si>
  <si>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</si>
  <si>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</si>
  <si>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</si>
  <si>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População ou pessoa em situação de rua</t>
  </si>
  <si>
    <t>Portal SP156</t>
  </si>
  <si>
    <t>Praças</t>
  </si>
  <si>
    <t>Precatórios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</si>
  <si>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</si>
  <si>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</si>
  <si>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</si>
  <si>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</si>
  <si>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</si>
  <si>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</si>
  <si>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</si>
  <si>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</si>
  <si>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</si>
  <si>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</si>
  <si>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</si>
  <si>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</si>
  <si>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</si>
  <si>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</si>
  <si>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</si>
  <si>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</si>
  <si>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</si>
  <si>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</si>
  <si>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</si>
  <si>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</si>
  <si>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</si>
  <si>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</si>
  <si>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</si>
  <si>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</si>
  <si>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</si>
  <si>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</si>
  <si>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</si>
  <si>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</si>
  <si>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</si>
  <si>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</si>
  <si>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</si>
  <si>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</si>
  <si>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</si>
  <si>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</si>
  <si>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</si>
  <si>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</si>
  <si>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</si>
  <si>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</si>
  <si>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</si>
  <si>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</si>
  <si>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</si>
  <si>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</si>
  <si>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</si>
  <si>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</si>
  <si>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</si>
  <si>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</si>
  <si>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</si>
  <si>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</si>
  <si>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</si>
  <si>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</si>
  <si>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</si>
  <si>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</si>
  <si>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Unidades - 10 mais solicitadas de 2025</t>
  </si>
  <si>
    <t>Unidades PMSP*</t>
  </si>
  <si>
    <t>Companhia de Engenharia de Tráfego</t>
  </si>
  <si>
    <t>Secretaria Municipal da Saúde</t>
  </si>
  <si>
    <t>Secretaria Municipal das Subprefeituras</t>
  </si>
  <si>
    <t>Secretaria Municipal de Assistência e Desenvolvimento Social</t>
  </si>
  <si>
    <t>São Paulo Transportes</t>
  </si>
  <si>
    <t>Secretaria Executiva de Limpeza Urbana</t>
  </si>
  <si>
    <t>Secretaria Municipal da Fazenda</t>
  </si>
  <si>
    <t>Secretaria Municipal de Educação</t>
  </si>
  <si>
    <t>Agência Reguladora de Serviços Públicos do Município</t>
  </si>
  <si>
    <t>Total das 10 Unidades + Demandadas</t>
  </si>
  <si>
    <t>Unidades</t>
  </si>
  <si>
    <t>Distribuição Percentual das unidades + demandadas (%)</t>
  </si>
  <si>
    <r>
      <t xml:space="preserve">* As </t>
    </r>
    <r>
      <rPr>
        <b/>
        <sz val="11"/>
        <color rgb="FF000000"/>
        <rFont val="Arial"/>
        <family val="2"/>
      </rPr>
      <t>denúncias</t>
    </r>
    <r>
      <rPr>
        <sz val="11"/>
        <color rgb="FF00000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</si>
  <si>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Casa Civil</t>
  </si>
  <si>
    <t>Companhia Metropolitana de Habitação</t>
  </si>
  <si>
    <t>Controladoria Geral do Município</t>
  </si>
  <si>
    <t>Procuradoria Geral do Município</t>
  </si>
  <si>
    <t>São Paulo Obras</t>
  </si>
  <si>
    <t>Secretaria de Relações Institucionais</t>
  </si>
  <si>
    <t>Secretaria de Relações Internacionais</t>
  </si>
  <si>
    <t>Secretaria do Governo Municipal</t>
  </si>
  <si>
    <t>Secretaria Municipal da Pessoa com Deficiência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</si>
  <si>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</si>
  <si>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</si>
  <si>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</si>
  <si>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</si>
  <si>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</si>
  <si>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</si>
  <si>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</si>
  <si>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</si>
  <si>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</si>
  <si>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</si>
  <si>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</si>
  <si>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</si>
  <si>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</si>
  <si>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</si>
  <si>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</si>
  <si>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</si>
  <si>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</si>
  <si>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</si>
  <si>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</si>
  <si>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</si>
  <si>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</si>
  <si>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</si>
  <si>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</si>
  <si>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</si>
  <si>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</si>
  <si>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</si>
  <si>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</si>
  <si>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</si>
  <si>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</si>
  <si>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</si>
  <si>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</si>
  <si>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</si>
  <si>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</si>
  <si>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</si>
  <si>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</si>
  <si>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</si>
  <si>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</si>
  <si>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</si>
  <si>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</si>
  <si>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</si>
  <si>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</si>
  <si>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</si>
  <si>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</si>
  <si>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</si>
  <si>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</si>
  <si>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</si>
  <si>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Subprefeituras - 10 mais solicitadas de 2025</t>
  </si>
  <si>
    <t>Subprefeituras PMSP*</t>
  </si>
  <si>
    <t>Lapa</t>
  </si>
  <si>
    <t>Sé</t>
  </si>
  <si>
    <t>Ipiranga</t>
  </si>
  <si>
    <t>Pirituba/Jaraguá</t>
  </si>
  <si>
    <t>Butantã</t>
  </si>
  <si>
    <t>Penha</t>
  </si>
  <si>
    <t>Mooca</t>
  </si>
  <si>
    <t>Itaquera</t>
  </si>
  <si>
    <t>Campo Limpo</t>
  </si>
  <si>
    <t>Pinheiros</t>
  </si>
  <si>
    <t>Total das 10 Subprefeituras + Demandadas</t>
  </si>
  <si>
    <t>Outras</t>
  </si>
  <si>
    <t>% Total dentre as subprefeituras</t>
  </si>
  <si>
    <t>Aricanduva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</si>
  <si>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</si>
  <si>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</si>
  <si>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</si>
  <si>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</si>
  <si>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</si>
  <si>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</si>
  <si>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</si>
  <si>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Itaim Paulista</t>
  </si>
  <si>
    <t>Jabaquara</t>
  </si>
  <si>
    <t>Jaçanã/Tremembé</t>
  </si>
  <si>
    <t>M Boi Mirim</t>
  </si>
  <si>
    <t>Parelheiros</t>
  </si>
  <si>
    <t>Perus</t>
  </si>
  <si>
    <t>Santana/Tucuruvi</t>
  </si>
  <si>
    <t>Santo Amaro</t>
  </si>
  <si>
    <t>São Mateus</t>
  </si>
  <si>
    <t>São Miguel Paulista</t>
  </si>
  <si>
    <t>Sapopemba</t>
  </si>
  <si>
    <t>Vila Maria/Vila Guilherme</t>
  </si>
  <si>
    <t>Vila Mariana</t>
  </si>
  <si>
    <t>Vila Prudente</t>
  </si>
  <si>
    <t>Assunto</t>
  </si>
  <si>
    <t>Quantidade</t>
  </si>
  <si>
    <t>Protocolos</t>
  </si>
  <si>
    <t>** Considera-se o campo “não identificado” todos os registros que não especificam o órgão, que não complementam essa informação, ou ainda que a narrativa não permita o rastreamento.</t>
  </si>
  <si>
    <t>Conselho Participativo Municipal</t>
  </si>
  <si>
    <t>Descomplica SP - Ermelino Matarazzo</t>
  </si>
  <si>
    <t>Segurança alimentar e nutricional</t>
  </si>
  <si>
    <t>Variação % (T2 vs T1) 2025</t>
  </si>
  <si>
    <t>Variação % (T3 vs T2) 2025</t>
  </si>
  <si>
    <t>Variação % (T4 vs T3) 2025</t>
  </si>
  <si>
    <t>Variação % global em 2025 (T4 vs T1)</t>
  </si>
  <si>
    <t>% em relação ao total geral do 4° trim. 2025 (excetuando-se denúncias)</t>
  </si>
  <si>
    <t>Total Geral</t>
  </si>
  <si>
    <t>% em relação ao total geral de Sub's. do 4° trim de 2025 (excetuando-se denúncias)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</si>
</sst>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.00&quot; &quot;;&quot;-&quot;#,##0.00&quot; &quot;;&quot; -&quot;#&quot; &quot;;&quot; &quot;@&quot; &quot;"/>
    <numFmt numFmtId="165" formatCode="0.0"/>
    <numFmt numFmtId="166" formatCode="0.0%"/>
    <numFmt numFmtId="167" formatCode="&quot; &quot;#,##0.00&quot; &quot;;&quot;-&quot;#,##0.00&quot; &quot;;&quot; -&quot;00&quot; &quot;;&quot; &quot;@&quot; &quot;"/>
  </numFmts>
  <fonts count="39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00"/>
      <name val="Arial "/>
    </font>
    <font>
      <b/>
      <sz val="11"/>
      <color rgb="FF000000"/>
      <name val="Arial "/>
    </font>
    <font>
      <b/>
      <sz val="11"/>
      <color rgb="FF000000"/>
      <name val="Calibri"/>
      <family val="2"/>
    </font>
    <font>
      <sz val="11"/>
      <color rgb="FFFF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u/>
      <sz val="11"/>
      <color rgb="FF0000FF"/>
      <name val="Arial"/>
      <family val="2"/>
    </font>
    <font>
      <sz val="8"/>
      <color rgb="FFFFFFFF"/>
      <name val="Arial"/>
      <family val="2"/>
    </font>
    <font>
      <sz val="11"/>
      <color rgb="FFFFFFFF"/>
      <name val="Calibri"/>
      <family val="2"/>
    </font>
    <font>
      <u/>
      <sz val="9"/>
      <color rgb="FF0000FF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10"/>
      <color rgb="FF000000"/>
      <name val="Arial "/>
    </font>
    <font>
      <sz val="11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theme="8"/>
        <bgColor rgb="FF4472C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/>
      <top/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111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9" fontId="1" fillId="0" borderId="0" applyFont="0" applyFill="0" applyBorder="0" applyAlignment="0" applyProtection="0"/>
    <xf numFmtId="0" fontId="7" fillId="0" borderId="1" applyNumberFormat="0" applyFill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8" fillId="0" borderId="0" xfId="0" applyFont="1"/>
    <xf numFmtId="0" fontId="9" fillId="0" borderId="0" xfId="100" applyFont="1"/>
    <xf numFmtId="0" fontId="9" fillId="0" borderId="0" xfId="100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100" applyFont="1"/>
    <xf numFmtId="2" fontId="1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8" fillId="0" borderId="0" xfId="0" applyFont="1" applyAlignment="1">
      <alignment horizontal="left" vertical="center"/>
    </xf>
    <xf numFmtId="0" fontId="14" fillId="0" borderId="0" xfId="0" applyFont="1"/>
    <xf numFmtId="1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3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/>
    <xf numFmtId="0" fontId="8" fillId="0" borderId="0" xfId="99" applyFont="1"/>
    <xf numFmtId="0" fontId="8" fillId="0" borderId="0" xfId="99" applyFont="1" applyAlignment="1">
      <alignment horizontal="center" vertical="center"/>
    </xf>
    <xf numFmtId="1" fontId="11" fillId="0" borderId="0" xfId="0" applyNumberFormat="1" applyFont="1"/>
    <xf numFmtId="0" fontId="9" fillId="0" borderId="0" xfId="0" applyFont="1"/>
    <xf numFmtId="0" fontId="15" fillId="0" borderId="0" xfId="0" applyFont="1"/>
    <xf numFmtId="1" fontId="9" fillId="0" borderId="0" xfId="0" applyNumberFormat="1" applyFont="1"/>
    <xf numFmtId="1" fontId="15" fillId="0" borderId="0" xfId="0" applyNumberFormat="1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11" fillId="0" borderId="0" xfId="0" applyNumberFormat="1" applyFont="1"/>
    <xf numFmtId="0" fontId="17" fillId="0" borderId="0" xfId="0" applyFont="1"/>
    <xf numFmtId="0" fontId="6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top" wrapText="1"/>
    </xf>
    <xf numFmtId="0" fontId="4" fillId="0" borderId="8" xfId="8" applyBorder="1" applyAlignment="1">
      <alignment horizontal="left" vertical="top"/>
    </xf>
    <xf numFmtId="0" fontId="11" fillId="0" borderId="9" xfId="0" applyFont="1" applyBorder="1"/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87" applyFont="1"/>
    <xf numFmtId="164" fontId="11" fillId="0" borderId="0" xfId="1" applyFont="1" applyFill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10" xfId="0" applyFont="1" applyBorder="1" applyAlignment="1">
      <alignment horizontal="left" wrapText="1"/>
    </xf>
    <xf numFmtId="0" fontId="21" fillId="0" borderId="11" xfId="8" applyFont="1" applyBorder="1" applyAlignment="1">
      <alignment vertical="center"/>
    </xf>
    <xf numFmtId="0" fontId="1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vertical="top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2" fillId="0" borderId="0" xfId="0" applyFont="1"/>
    <xf numFmtId="17" fontId="9" fillId="0" borderId="0" xfId="0" applyNumberFormat="1" applyFont="1"/>
    <xf numFmtId="0" fontId="16" fillId="0" borderId="0" xfId="0" applyFont="1"/>
    <xf numFmtId="0" fontId="23" fillId="0" borderId="0" xfId="0" applyFont="1"/>
    <xf numFmtId="1" fontId="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24" fillId="0" borderId="11" xfId="8" applyFont="1" applyBorder="1" applyAlignment="1">
      <alignment horizontal="left" vertical="top"/>
    </xf>
    <xf numFmtId="0" fontId="8" fillId="0" borderId="0" xfId="99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99" applyFont="1" applyAlignment="1">
      <alignment horizontal="left"/>
    </xf>
    <xf numFmtId="0" fontId="21" fillId="0" borderId="11" xfId="8" applyFont="1" applyBorder="1" applyAlignment="1">
      <alignment horizontal="left" vertical="top" wrapText="1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17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5" fillId="0" borderId="0" xfId="0" applyFont="1"/>
    <xf numFmtId="2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2" fontId="28" fillId="0" borderId="0" xfId="0" applyNumberFormat="1" applyFont="1" applyAlignment="1">
      <alignment horizontal="left" vertical="center" wrapText="1"/>
    </xf>
    <xf numFmtId="0" fontId="28" fillId="0" borderId="0" xfId="0" applyFont="1"/>
    <xf numFmtId="2" fontId="28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horizontal="left" vertical="center"/>
    </xf>
    <xf numFmtId="0" fontId="29" fillId="0" borderId="0" xfId="0" applyFont="1"/>
    <xf numFmtId="1" fontId="27" fillId="0" borderId="0" xfId="0" applyNumberFormat="1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30" fillId="0" borderId="0" xfId="0" applyNumberFormat="1" applyFont="1"/>
    <xf numFmtId="0" fontId="30" fillId="0" borderId="0" xfId="0" applyFont="1"/>
    <xf numFmtId="1" fontId="31" fillId="0" borderId="0" xfId="0" applyNumberFormat="1" applyFont="1"/>
    <xf numFmtId="1" fontId="30" fillId="0" borderId="0" xfId="0" applyNumberFormat="1" applyFont="1" applyAlignment="1">
      <alignment vertical="top" wrapText="1"/>
    </xf>
    <xf numFmtId="1" fontId="26" fillId="0" borderId="0" xfId="0" applyNumberFormat="1" applyFont="1" applyAlignment="1">
      <alignment horizontal="center"/>
    </xf>
    <xf numFmtId="0" fontId="10" fillId="0" borderId="0" xfId="100" applyFont="1" applyAlignment="1">
      <alignment horizontal="center" vertical="center" wrapText="1"/>
    </xf>
    <xf numFmtId="0" fontId="11" fillId="0" borderId="0" xfId="100" applyFont="1" applyAlignment="1">
      <alignment horizontal="left"/>
    </xf>
    <xf numFmtId="0" fontId="11" fillId="0" borderId="0" xfId="10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4" fontId="11" fillId="0" borderId="0" xfId="100" applyNumberFormat="1" applyFont="1" applyAlignment="1">
      <alignment horizontal="center"/>
    </xf>
    <xf numFmtId="3" fontId="8" fillId="5" borderId="0" xfId="100" applyNumberFormat="1" applyFont="1" applyFill="1" applyAlignment="1">
      <alignment horizontal="left"/>
    </xf>
    <xf numFmtId="3" fontId="8" fillId="5" borderId="0" xfId="100" applyNumberFormat="1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3" fontId="11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17" fontId="10" fillId="0" borderId="0" xfId="0" applyNumberFormat="1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2" fontId="32" fillId="5" borderId="0" xfId="0" applyNumberFormat="1" applyFont="1" applyFill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1" fontId="25" fillId="0" borderId="0" xfId="0" applyNumberFormat="1" applyFont="1"/>
    <xf numFmtId="0" fontId="26" fillId="0" borderId="0" xfId="0" applyFont="1" applyAlignment="1">
      <alignment horizontal="center" vertical="center"/>
    </xf>
    <xf numFmtId="1" fontId="26" fillId="0" borderId="0" xfId="0" applyNumberFormat="1" applyFont="1"/>
    <xf numFmtId="1" fontId="33" fillId="0" borderId="0" xfId="0" applyNumberFormat="1" applyFont="1" applyAlignment="1">
      <alignment vertical="top" wrapText="1"/>
    </xf>
    <xf numFmtId="0" fontId="34" fillId="0" borderId="0" xfId="0" applyFont="1" applyAlignment="1">
      <alignment vertical="top" wrapText="1"/>
    </xf>
    <xf numFmtId="1" fontId="35" fillId="0" borderId="0" xfId="0" applyNumberFormat="1" applyFont="1"/>
    <xf numFmtId="166" fontId="27" fillId="0" borderId="0" xfId="11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center"/>
    </xf>
    <xf numFmtId="3" fontId="27" fillId="6" borderId="0" xfId="0" applyNumberFormat="1" applyFont="1" applyFill="1" applyAlignment="1">
      <alignment horizontal="center"/>
    </xf>
    <xf numFmtId="2" fontId="27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166" fontId="27" fillId="0" borderId="0" xfId="110" applyNumberFormat="1" applyFont="1" applyFill="1" applyBorder="1" applyAlignment="1">
      <alignment horizontal="center" vertical="center"/>
    </xf>
    <xf numFmtId="166" fontId="27" fillId="0" borderId="0" xfId="110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/>
    <xf numFmtId="0" fontId="6" fillId="0" borderId="4" xfId="100" applyFont="1" applyBorder="1"/>
    <xf numFmtId="0" fontId="6" fillId="0" borderId="5" xfId="100" applyFont="1" applyBorder="1"/>
    <xf numFmtId="0" fontId="6" fillId="0" borderId="0" xfId="100" applyFont="1"/>
    <xf numFmtId="0" fontId="36" fillId="0" borderId="0" xfId="0" applyFont="1"/>
    <xf numFmtId="0" fontId="37" fillId="0" borderId="0" xfId="0" applyFont="1"/>
    <xf numFmtId="1" fontId="36" fillId="0" borderId="0" xfId="0" applyNumberFormat="1" applyFont="1"/>
    <xf numFmtId="0" fontId="6" fillId="0" borderId="2" xfId="0" applyFont="1" applyBorder="1" applyAlignment="1">
      <alignment horizontal="left" vertical="top" wrapText="1"/>
    </xf>
    <xf numFmtId="2" fontId="32" fillId="5" borderId="0" xfId="0" applyNumberFormat="1" applyFont="1" applyFill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32" fillId="5" borderId="0" xfId="0" applyFont="1" applyFill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0" fontId="11" fillId="5" borderId="0" xfId="0" applyFont="1" applyFill="1"/>
    <xf numFmtId="166" fontId="8" fillId="0" borderId="0" xfId="110" applyNumberFormat="1" applyFont="1" applyFill="1" applyBorder="1" applyAlignment="1">
      <alignment horizontal="center" vertical="center"/>
    </xf>
    <xf numFmtId="166" fontId="11" fillId="5" borderId="0" xfId="11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32" fillId="5" borderId="0" xfId="0" applyNumberFormat="1" applyFont="1" applyFill="1" applyAlignment="1">
      <alignment horizontal="center"/>
    </xf>
    <xf numFmtId="3" fontId="32" fillId="5" borderId="0" xfId="0" applyNumberFormat="1" applyFont="1" applyFill="1" applyAlignment="1">
      <alignment horizontal="center" vertical="center"/>
    </xf>
    <xf numFmtId="166" fontId="32" fillId="5" borderId="0" xfId="110" applyNumberFormat="1" applyFont="1" applyFill="1" applyBorder="1" applyAlignment="1">
      <alignment horizontal="center" vertical="center"/>
    </xf>
    <xf numFmtId="10" fontId="8" fillId="0" borderId="0" xfId="11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1" fillId="0" borderId="0" xfId="1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1" fillId="0" borderId="0" xfId="84" applyFont="1" applyBorder="1"/>
    <xf numFmtId="3" fontId="11" fillId="0" borderId="0" xfId="87" applyNumberFormat="1" applyFont="1" applyBorder="1" applyAlignment="1">
      <alignment horizontal="center" vertical="center"/>
    </xf>
    <xf numFmtId="3" fontId="8" fillId="0" borderId="0" xfId="87" applyNumberFormat="1" applyFont="1" applyBorder="1" applyAlignment="1">
      <alignment horizontal="center" vertical="center"/>
    </xf>
    <xf numFmtId="10" fontId="11" fillId="5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/>
    <xf numFmtId="3" fontId="32" fillId="5" borderId="0" xfId="0" applyNumberFormat="1" applyFont="1" applyFill="1"/>
    <xf numFmtId="0" fontId="27" fillId="5" borderId="0" xfId="0" applyFont="1" applyFill="1"/>
    <xf numFmtId="166" fontId="11" fillId="0" borderId="0" xfId="110" applyNumberFormat="1" applyFont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3" fontId="27" fillId="5" borderId="0" xfId="0" applyNumberFormat="1" applyFont="1" applyFill="1" applyAlignment="1">
      <alignment horizontal="center" vertical="center"/>
    </xf>
    <xf numFmtId="166" fontId="27" fillId="5" borderId="0" xfId="0" applyNumberFormat="1" applyFont="1" applyFill="1" applyAlignment="1">
      <alignment horizontal="center" vertical="center"/>
    </xf>
    <xf numFmtId="3" fontId="11" fillId="0" borderId="0" xfId="100" applyNumberFormat="1" applyFont="1" applyAlignment="1">
      <alignment horizontal="center" vertical="center"/>
    </xf>
    <xf numFmtId="3" fontId="11" fillId="6" borderId="0" xfId="100" applyNumberFormat="1" applyFont="1" applyFill="1" applyAlignment="1">
      <alignment horizontal="center" vertical="center"/>
    </xf>
    <xf numFmtId="0" fontId="24" fillId="0" borderId="11" xfId="8" applyFont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1" fontId="25" fillId="0" borderId="0" xfId="0" applyNumberFormat="1" applyFont="1" applyAlignment="1">
      <alignment horizontal="left" vertical="top" wrapText="1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0" fillId="0" borderId="0" xfId="0"/>
    <xf numFmtId="3" fontId="11" fillId="0" borderId="0" xfId="0" applyNumberFormat="1" applyFont="1" applyFill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3" fontId="11" fillId="7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38" fillId="0" borderId="0" xfId="0" applyFont="1"/>
    <xf numFmtId="0" fontId="38" fillId="0" borderId="0" xfId="0" applyFont="1" applyAlignment="1">
      <alignment horizontal="center" vertical="center"/>
    </xf>
    <xf numFmtId="1" fontId="38" fillId="0" borderId="0" xfId="0" applyNumberFormat="1" applyFont="1"/>
    <xf numFmtId="1" fontId="25" fillId="0" borderId="0" xfId="0" applyNumberFormat="1" applyFont="1" applyFill="1" applyAlignment="1">
      <alignment horizontal="center" vertical="center"/>
    </xf>
  </cellXfs>
  <cellStyles count="111">
    <cellStyle name="cf1" xfId="2" xr:uid="{00000000-0005-0000-0000-000000000000}"/>
    <cellStyle name="cf2" xfId="3" xr:uid="{00000000-0005-0000-0000-000001000000}"/>
    <cellStyle name="Excel Built-in Normal" xfId="4" xr:uid="{00000000-0005-0000-0000-000002000000}"/>
    <cellStyle name="Excel Built-in Normal 2" xfId="5" xr:uid="{00000000-0005-0000-0000-000003000000}"/>
    <cellStyle name="Excel Built-in Normal 2 2" xfId="6" xr:uid="{00000000-0005-0000-0000-000004000000}"/>
    <cellStyle name="Excel Built-in Normal 3" xfId="7" xr:uid="{00000000-0005-0000-0000-000005000000}"/>
    <cellStyle name="Hiperlink" xfId="8" xr:uid="{00000000-0005-0000-0000-000006000000}"/>
    <cellStyle name="Hyperlink 2" xfId="9" xr:uid="{00000000-0005-0000-0000-000007000000}"/>
    <cellStyle name="Hyperlink 2 10" xfId="10" xr:uid="{00000000-0005-0000-0000-000008000000}"/>
    <cellStyle name="Hyperlink 2 11" xfId="11" xr:uid="{00000000-0005-0000-0000-000009000000}"/>
    <cellStyle name="Hyperlink 2 12" xfId="12" xr:uid="{00000000-0005-0000-0000-00000A000000}"/>
    <cellStyle name="Hyperlink 2 13" xfId="13" xr:uid="{00000000-0005-0000-0000-00000B000000}"/>
    <cellStyle name="Hyperlink 2 14" xfId="14" xr:uid="{00000000-0005-0000-0000-00000C000000}"/>
    <cellStyle name="Hyperlink 2 15" xfId="15" xr:uid="{00000000-0005-0000-0000-00000D000000}"/>
    <cellStyle name="Hyperlink 2 16" xfId="16" xr:uid="{00000000-0005-0000-0000-00000E000000}"/>
    <cellStyle name="Hyperlink 2 17" xfId="17" xr:uid="{00000000-0005-0000-0000-00000F000000}"/>
    <cellStyle name="Hyperlink 2 18" xfId="18" xr:uid="{00000000-0005-0000-0000-000010000000}"/>
    <cellStyle name="Hyperlink 2 19" xfId="19" xr:uid="{00000000-0005-0000-0000-000011000000}"/>
    <cellStyle name="Hyperlink 2 2" xfId="20" xr:uid="{00000000-0005-0000-0000-000012000000}"/>
    <cellStyle name="Hyperlink 2 2 2" xfId="21" xr:uid="{00000000-0005-0000-0000-000013000000}"/>
    <cellStyle name="Hyperlink 2 2 3" xfId="22" xr:uid="{00000000-0005-0000-0000-000014000000}"/>
    <cellStyle name="Hyperlink 2 2 4" xfId="23" xr:uid="{00000000-0005-0000-0000-000015000000}"/>
    <cellStyle name="Hyperlink 2 2 5" xfId="24" xr:uid="{00000000-0005-0000-0000-000016000000}"/>
    <cellStyle name="Hyperlink 2 2 6" xfId="25" xr:uid="{00000000-0005-0000-0000-000017000000}"/>
    <cellStyle name="Hyperlink 2 2 7" xfId="26" xr:uid="{00000000-0005-0000-0000-000018000000}"/>
    <cellStyle name="Hyperlink 2 2 8" xfId="27" xr:uid="{00000000-0005-0000-0000-000019000000}"/>
    <cellStyle name="Hyperlink 2 2 9" xfId="28" xr:uid="{00000000-0005-0000-0000-00001A000000}"/>
    <cellStyle name="Hyperlink 2 20" xfId="29" xr:uid="{00000000-0005-0000-0000-00001B000000}"/>
    <cellStyle name="Hyperlink 2 21" xfId="30" xr:uid="{00000000-0005-0000-0000-00001C000000}"/>
    <cellStyle name="Hyperlink 2 22" xfId="31" xr:uid="{00000000-0005-0000-0000-00001D000000}"/>
    <cellStyle name="Hyperlink 2 23" xfId="32" xr:uid="{00000000-0005-0000-0000-00001E000000}"/>
    <cellStyle name="Hyperlink 2 24" xfId="33" xr:uid="{00000000-0005-0000-0000-00001F000000}"/>
    <cellStyle name="Hyperlink 2 25" xfId="34" xr:uid="{00000000-0005-0000-0000-000020000000}"/>
    <cellStyle name="Hyperlink 2 26" xfId="35" xr:uid="{00000000-0005-0000-0000-000021000000}"/>
    <cellStyle name="Hyperlink 2 27" xfId="36" xr:uid="{00000000-0005-0000-0000-000022000000}"/>
    <cellStyle name="Hyperlink 2 28" xfId="37" xr:uid="{00000000-0005-0000-0000-000023000000}"/>
    <cellStyle name="Hyperlink 2 29" xfId="38" xr:uid="{00000000-0005-0000-0000-000024000000}"/>
    <cellStyle name="Hyperlink 2 3" xfId="39" xr:uid="{00000000-0005-0000-0000-000025000000}"/>
    <cellStyle name="Hyperlink 2 30" xfId="40" xr:uid="{00000000-0005-0000-0000-000026000000}"/>
    <cellStyle name="Hyperlink 2 31" xfId="41" xr:uid="{00000000-0005-0000-0000-000027000000}"/>
    <cellStyle name="Hyperlink 2 32" xfId="42" xr:uid="{00000000-0005-0000-0000-000028000000}"/>
    <cellStyle name="Hyperlink 2 33" xfId="43" xr:uid="{00000000-0005-0000-0000-000029000000}"/>
    <cellStyle name="Hyperlink 2 34" xfId="44" xr:uid="{00000000-0005-0000-0000-00002A000000}"/>
    <cellStyle name="Hyperlink 2 35" xfId="45" xr:uid="{00000000-0005-0000-0000-00002B000000}"/>
    <cellStyle name="Hyperlink 2 36" xfId="46" xr:uid="{00000000-0005-0000-0000-00002C000000}"/>
    <cellStyle name="Hyperlink 2 37" xfId="47" xr:uid="{00000000-0005-0000-0000-00002D000000}"/>
    <cellStyle name="Hyperlink 2 38" xfId="48" xr:uid="{00000000-0005-0000-0000-00002E000000}"/>
    <cellStyle name="Hyperlink 2 39" xfId="49" xr:uid="{00000000-0005-0000-0000-00002F000000}"/>
    <cellStyle name="Hyperlink 2 4" xfId="50" xr:uid="{00000000-0005-0000-0000-000030000000}"/>
    <cellStyle name="Hyperlink 2 40" xfId="51" xr:uid="{00000000-0005-0000-0000-000031000000}"/>
    <cellStyle name="Hyperlink 2 41" xfId="52" xr:uid="{00000000-0005-0000-0000-000032000000}"/>
    <cellStyle name="Hyperlink 2 42" xfId="53" xr:uid="{00000000-0005-0000-0000-000033000000}"/>
    <cellStyle name="Hyperlink 2 43" xfId="54" xr:uid="{00000000-0005-0000-0000-000034000000}"/>
    <cellStyle name="Hyperlink 2 44" xfId="55" xr:uid="{00000000-0005-0000-0000-000035000000}"/>
    <cellStyle name="Hyperlink 2 45" xfId="56" xr:uid="{00000000-0005-0000-0000-000036000000}"/>
    <cellStyle name="Hyperlink 2 46" xfId="57" xr:uid="{00000000-0005-0000-0000-000037000000}"/>
    <cellStyle name="Hyperlink 2 47" xfId="58" xr:uid="{00000000-0005-0000-0000-000038000000}"/>
    <cellStyle name="Hyperlink 2 48" xfId="59" xr:uid="{00000000-0005-0000-0000-000039000000}"/>
    <cellStyle name="Hyperlink 2 49" xfId="60" xr:uid="{00000000-0005-0000-0000-00003A000000}"/>
    <cellStyle name="Hyperlink 2 5" xfId="61" xr:uid="{00000000-0005-0000-0000-00003B000000}"/>
    <cellStyle name="Hyperlink 2 50" xfId="62" xr:uid="{00000000-0005-0000-0000-00003C000000}"/>
    <cellStyle name="Hyperlink 2 51" xfId="63" xr:uid="{00000000-0005-0000-0000-00003D000000}"/>
    <cellStyle name="Hyperlink 2 52" xfId="64" xr:uid="{00000000-0005-0000-0000-00003E000000}"/>
    <cellStyle name="Hyperlink 2 53" xfId="65" xr:uid="{00000000-0005-0000-0000-00003F000000}"/>
    <cellStyle name="Hyperlink 2 54" xfId="66" xr:uid="{00000000-0005-0000-0000-000040000000}"/>
    <cellStyle name="Hyperlink 2 55" xfId="67" xr:uid="{00000000-0005-0000-0000-000041000000}"/>
    <cellStyle name="Hyperlink 2 6" xfId="68" xr:uid="{00000000-0005-0000-0000-000042000000}"/>
    <cellStyle name="Hyperlink 2 7" xfId="69" xr:uid="{00000000-0005-0000-0000-000043000000}"/>
    <cellStyle name="Hyperlink 2 8" xfId="70" xr:uid="{00000000-0005-0000-0000-000044000000}"/>
    <cellStyle name="Hyperlink 2 9" xfId="71" xr:uid="{00000000-0005-0000-0000-000045000000}"/>
    <cellStyle name="Normal" xfId="0" builtinId="0" customBuiltin="1"/>
    <cellStyle name="Normal 2" xfId="72" xr:uid="{00000000-0005-0000-0000-000047000000}"/>
    <cellStyle name="Normal 2 10" xfId="73" xr:uid="{00000000-0005-0000-0000-000048000000}"/>
    <cellStyle name="Normal 2 11" xfId="74" xr:uid="{00000000-0005-0000-0000-000049000000}"/>
    <cellStyle name="Normal 2 12" xfId="75" xr:uid="{00000000-0005-0000-0000-00004A000000}"/>
    <cellStyle name="Normal 2 13" xfId="76" xr:uid="{00000000-0005-0000-0000-00004B000000}"/>
    <cellStyle name="Normal 2 14" xfId="77" xr:uid="{00000000-0005-0000-0000-00004C000000}"/>
    <cellStyle name="Normal 2 15" xfId="78" xr:uid="{00000000-0005-0000-0000-00004D000000}"/>
    <cellStyle name="Normal 2 16" xfId="79" xr:uid="{00000000-0005-0000-0000-00004E000000}"/>
    <cellStyle name="Normal 2 17" xfId="80" xr:uid="{00000000-0005-0000-0000-00004F000000}"/>
    <cellStyle name="Normal 2 18" xfId="81" xr:uid="{00000000-0005-0000-0000-000050000000}"/>
    <cellStyle name="Normal 2 19" xfId="82" xr:uid="{00000000-0005-0000-0000-000051000000}"/>
    <cellStyle name="Normal 2 2" xfId="83" xr:uid="{00000000-0005-0000-0000-000052000000}"/>
    <cellStyle name="Normal 2 2 2" xfId="84" xr:uid="{00000000-0005-0000-0000-000053000000}"/>
    <cellStyle name="Normal 2 2 3" xfId="85" xr:uid="{00000000-0005-0000-0000-000054000000}"/>
    <cellStyle name="Normal 2 20" xfId="86" xr:uid="{00000000-0005-0000-0000-000055000000}"/>
    <cellStyle name="Normal 2 21" xfId="87" xr:uid="{00000000-0005-0000-0000-000056000000}"/>
    <cellStyle name="Normal 2 3" xfId="88" xr:uid="{00000000-0005-0000-0000-000057000000}"/>
    <cellStyle name="Normal 2 4" xfId="89" xr:uid="{00000000-0005-0000-0000-000058000000}"/>
    <cellStyle name="Normal 2 5" xfId="90" xr:uid="{00000000-0005-0000-0000-000059000000}"/>
    <cellStyle name="Normal 2 6" xfId="91" xr:uid="{00000000-0005-0000-0000-00005A000000}"/>
    <cellStyle name="Normal 2 7" xfId="92" xr:uid="{00000000-0005-0000-0000-00005B000000}"/>
    <cellStyle name="Normal 2 8" xfId="93" xr:uid="{00000000-0005-0000-0000-00005C000000}"/>
    <cellStyle name="Normal 2 9" xfId="94" xr:uid="{00000000-0005-0000-0000-00005D000000}"/>
    <cellStyle name="Normal 3" xfId="95" xr:uid="{00000000-0005-0000-0000-00005E000000}"/>
    <cellStyle name="Normal 3 2" xfId="96" xr:uid="{00000000-0005-0000-0000-00005F000000}"/>
    <cellStyle name="Normal 3 3" xfId="97" xr:uid="{00000000-0005-0000-0000-000060000000}"/>
    <cellStyle name="Normal 4" xfId="98" xr:uid="{00000000-0005-0000-0000-000061000000}"/>
    <cellStyle name="Normal 4 2" xfId="99" xr:uid="{00000000-0005-0000-0000-000062000000}"/>
    <cellStyle name="Normal 5" xfId="100" xr:uid="{00000000-0005-0000-0000-000063000000}"/>
    <cellStyle name="Normal 5 2" xfId="101" xr:uid="{00000000-0005-0000-0000-000064000000}"/>
    <cellStyle name="Normal 6" xfId="102" xr:uid="{00000000-0005-0000-0000-000065000000}"/>
    <cellStyle name="Normal 6 2" xfId="103" xr:uid="{00000000-0005-0000-0000-000066000000}"/>
    <cellStyle name="Normal 7" xfId="104" xr:uid="{00000000-0005-0000-0000-000067000000}"/>
    <cellStyle name="Normal 8" xfId="105" xr:uid="{00000000-0005-0000-0000-000068000000}"/>
    <cellStyle name="Porcentagem" xfId="110" builtinId="5"/>
    <cellStyle name="Porcentagem 2" xfId="106" xr:uid="{00000000-0005-0000-0000-00006A000000}"/>
    <cellStyle name="Título 3 2" xfId="107" xr:uid="{00000000-0005-0000-0000-00006B000000}"/>
    <cellStyle name="Vírgula" xfId="1" builtinId="3" customBuiltin="1"/>
    <cellStyle name="Vírgula 2" xfId="108" xr:uid="{00000000-0005-0000-0000-00006D000000}"/>
    <cellStyle name="Vírgula 3" xfId="109" xr:uid="{00000000-0005-0000-0000-00006E000000}"/>
  </cellStyles>
  <dxfs count="194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0.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0.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6" formatCode="0.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" formatCode="0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bgColor theme="8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cap="none" spc="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dos Tipos de Manifestação 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Protocolos!$B$5</c:f>
              <c:strCache>
                <c:ptCount val="1"/>
                <c:pt idx="0">
                  <c:v>Reclamação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7D-4A8C-B0D0-F54F8A6D6E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7D-4A8C-B0D0-F54F8A6D6E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Protocolos!$C$5:$F$5</c:f>
              <c:numCache>
                <c:formatCode>#,##0</c:formatCode>
                <c:ptCount val="4"/>
                <c:pt idx="0">
                  <c:v>17947</c:v>
                </c:pt>
                <c:pt idx="1">
                  <c:v>15964</c:v>
                </c:pt>
                <c:pt idx="2">
                  <c:v>15226</c:v>
                </c:pt>
                <c:pt idx="3">
                  <c:v>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E-4750-80F2-C150C7D2A663}"/>
            </c:ext>
          </c:extLst>
        </c:ser>
        <c:ser>
          <c:idx val="1"/>
          <c:order val="1"/>
          <c:tx>
            <c:strRef>
              <c:f>Protocolos!$B$6</c:f>
              <c:strCache>
                <c:ptCount val="1"/>
                <c:pt idx="0">
                  <c:v>Denúncia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Protocolos!$C$6:$F$6</c:f>
              <c:numCache>
                <c:formatCode>#,##0</c:formatCode>
                <c:ptCount val="4"/>
                <c:pt idx="0">
                  <c:v>1054</c:v>
                </c:pt>
                <c:pt idx="1">
                  <c:v>1135</c:v>
                </c:pt>
                <c:pt idx="2">
                  <c:v>1118</c:v>
                </c:pt>
                <c:pt idx="3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E-4750-80F2-C150C7D2A663}"/>
            </c:ext>
          </c:extLst>
        </c:ser>
        <c:ser>
          <c:idx val="2"/>
          <c:order val="2"/>
          <c:tx>
            <c:strRef>
              <c:f>Protocolos!$B$7</c:f>
              <c:strCache>
                <c:ptCount val="1"/>
                <c:pt idx="0">
                  <c:v>Solicitação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FFFFFF"/>
                    </a:solidFill>
                    <a:latin typeface="Aptos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Protocolos!$C$7:$F$7</c:f>
              <c:numCache>
                <c:formatCode>#,##0</c:formatCode>
                <c:ptCount val="4"/>
                <c:pt idx="0">
                  <c:v>738</c:v>
                </c:pt>
                <c:pt idx="1">
                  <c:v>732</c:v>
                </c:pt>
                <c:pt idx="2">
                  <c:v>803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1E-4750-80F2-C150C7D2A663}"/>
            </c:ext>
          </c:extLst>
        </c:ser>
        <c:ser>
          <c:idx val="3"/>
          <c:order val="3"/>
          <c:tx>
            <c:strRef>
              <c:f>Protocolos!$B$8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Protocolos!$C$8:$F$8</c:f>
              <c:numCache>
                <c:formatCode>#,##0</c:formatCode>
                <c:ptCount val="4"/>
                <c:pt idx="0">
                  <c:v>275</c:v>
                </c:pt>
                <c:pt idx="1">
                  <c:v>247</c:v>
                </c:pt>
                <c:pt idx="2">
                  <c:v>243</c:v>
                </c:pt>
                <c:pt idx="3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1E-4750-80F2-C150C7D2A663}"/>
            </c:ext>
          </c:extLst>
        </c:ser>
        <c:ser>
          <c:idx val="4"/>
          <c:order val="4"/>
          <c:tx>
            <c:strRef>
              <c:f>Protocolos!$B$9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Protocolos!$C$9:$F$9</c:f>
              <c:numCache>
                <c:formatCode>#,##0</c:formatCode>
                <c:ptCount val="4"/>
                <c:pt idx="0">
                  <c:v>219</c:v>
                </c:pt>
                <c:pt idx="1">
                  <c:v>156</c:v>
                </c:pt>
                <c:pt idx="2">
                  <c:v>162</c:v>
                </c:pt>
                <c:pt idx="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1E-4750-80F2-C150C7D2A663}"/>
            </c:ext>
          </c:extLst>
        </c:ser>
        <c:ser>
          <c:idx val="5"/>
          <c:order val="5"/>
          <c:tx>
            <c:strRef>
              <c:f>Protocolos!$B$10</c:f>
              <c:strCache>
                <c:ptCount val="1"/>
                <c:pt idx="0">
                  <c:v>Manifestações sobre o BRT Aricanduva*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strRef>
              <c:f>Protocolos!$C$4:$F$4</c:f>
              <c:strCache>
                <c:ptCount val="4"/>
                <c:pt idx="0">
                  <c:v>1º Trimestre de 2025</c:v>
                </c:pt>
                <c:pt idx="1">
                  <c:v>2º Trimestre de 2025</c:v>
                </c:pt>
                <c:pt idx="2">
                  <c:v>3º Trimestre de 2025</c:v>
                </c:pt>
                <c:pt idx="3">
                  <c:v>4º Trimestre de 2025</c:v>
                </c:pt>
              </c:strCache>
            </c:strRef>
          </c:cat>
          <c:val>
            <c:numRef>
              <c:f>Protocolos!$C$10:$F$10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1E-4750-80F2-C150C7D2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59448527"/>
        <c:axId val="659444783"/>
      </c:barChart>
      <c:valAx>
        <c:axId val="659444783"/>
        <c:scaling>
          <c:orientation val="minMax"/>
          <c:min val="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minorGridlines>
          <c:spPr>
            <a:ln w="9528" cap="flat">
              <a:solidFill>
                <a:srgbClr val="F2F2F2"/>
              </a:solidFill>
              <a:prstDash val="solid"/>
              <a:round/>
            </a:ln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48527"/>
        <c:crosses val="autoZero"/>
        <c:crossBetween val="between"/>
      </c:valAx>
      <c:catAx>
        <c:axId val="659448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cap="none" spc="0" baseline="0">
                <a:solidFill>
                  <a:srgbClr val="000000"/>
                </a:solidFill>
                <a:latin typeface="Arial" pitchFamily="34"/>
                <a:cs typeface="Arial" pitchFamily="34"/>
              </a:defRPr>
            </a:pPr>
            <a:endParaRPr lang="pt-BR"/>
          </a:p>
        </c:txPr>
        <c:crossAx val="659444783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Arial" pitchFamily="34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chemeClr val="accent5">
          <a:lumMod val="50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das Manifestações entre as Subprefeituras – Participação das 10 Mais Demandadas [4º trimestre de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4E-46F2-BB23-5BB9263285B4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4E-46F2-BB23-5BB9263285B4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'10+_Subprefeituras_2025'!$B$16:$B$17</c:f>
              <c:strCache>
                <c:ptCount val="2"/>
                <c:pt idx="0">
                  <c:v>Total das 10 Subprefeituras + Demandadas</c:v>
                </c:pt>
                <c:pt idx="1">
                  <c:v>Outras</c:v>
                </c:pt>
              </c:strCache>
            </c:strRef>
          </c:cat>
          <c:val>
            <c:numRef>
              <c:f>'10+_Subprefeituras_2025'!$I$16:$I$17</c:f>
              <c:numCache>
                <c:formatCode>0.00</c:formatCode>
                <c:ptCount val="2"/>
                <c:pt idx="0">
                  <c:v>53.795811518324605</c:v>
                </c:pt>
                <c:pt idx="1">
                  <c:v>46.204188481675395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3-41AD-951F-91A348CD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das Subprefeituras Mais Demandadas  [4° trimestre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'10+_Subprefeituras_2025'!$B$21:$B$21</c:f>
              <c:strCache>
                <c:ptCount val="1"/>
                <c:pt idx="0">
                  <c:v>Pirituba/Jaraguá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'10+_Subprefeituras_2025'!$C$21:$C$21</c:f>
              <c:numCache>
                <c:formatCode>0.00</c:formatCode>
                <c:ptCount val="1"/>
                <c:pt idx="0">
                  <c:v>3.3049738219895288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4468-BA5B-51EDE40B0C82}"/>
            </c:ext>
          </c:extLst>
        </c:ser>
        <c:ser>
          <c:idx val="1"/>
          <c:order val="1"/>
          <c:tx>
            <c:strRef>
              <c:f>'10+_Subprefeituras_2025'!$B$22:$B$22</c:f>
              <c:strCache>
                <c:ptCount val="1"/>
                <c:pt idx="0">
                  <c:v>Campo Limpo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'10+_Subprefeituras_2025'!$C$22:$C$22</c:f>
              <c:numCache>
                <c:formatCode>0.00</c:formatCode>
                <c:ptCount val="1"/>
                <c:pt idx="0">
                  <c:v>3.6976439790575917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E-4468-BA5B-51EDE40B0C82}"/>
            </c:ext>
          </c:extLst>
        </c:ser>
        <c:ser>
          <c:idx val="2"/>
          <c:order val="2"/>
          <c:tx>
            <c:strRef>
              <c:f>'10+_Subprefeituras_2025'!$B$23:$B$23</c:f>
              <c:strCache>
                <c:ptCount val="1"/>
                <c:pt idx="0">
                  <c:v>Itaquera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'10+_Subprefeituras_2025'!$C$23:$C$23</c:f>
              <c:numCache>
                <c:formatCode>0.00</c:formatCode>
                <c:ptCount val="1"/>
                <c:pt idx="0">
                  <c:v>3.8939790575916229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E-4468-BA5B-51EDE40B0C82}"/>
            </c:ext>
          </c:extLst>
        </c:ser>
        <c:ser>
          <c:idx val="3"/>
          <c:order val="3"/>
          <c:tx>
            <c:strRef>
              <c:f>'10+_Subprefeituras_2025'!$B$24:$B$24</c:f>
              <c:strCache>
                <c:ptCount val="1"/>
                <c:pt idx="0">
                  <c:v>Pinheiros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'10+_Subprefeituras_2025'!$C$24:$C$24</c:f>
              <c:numCache>
                <c:formatCode>0.00</c:formatCode>
                <c:ptCount val="1"/>
                <c:pt idx="0">
                  <c:v>3.8939790575916229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4E-4468-BA5B-51EDE40B0C82}"/>
            </c:ext>
          </c:extLst>
        </c:ser>
        <c:ser>
          <c:idx val="4"/>
          <c:order val="4"/>
          <c:tx>
            <c:strRef>
              <c:f>'10+_Subprefeituras_2025'!$B$25:$B$25</c:f>
              <c:strCache>
                <c:ptCount val="1"/>
                <c:pt idx="0">
                  <c:v>Mooca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'10+_Subprefeituras_2025'!$C$25:$C$25</c:f>
              <c:numCache>
                <c:formatCode>0.00</c:formatCode>
                <c:ptCount val="1"/>
                <c:pt idx="0">
                  <c:v>4.0248691099476437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4E-4468-BA5B-51EDE40B0C82}"/>
            </c:ext>
          </c:extLst>
        </c:ser>
        <c:ser>
          <c:idx val="5"/>
          <c:order val="5"/>
          <c:tx>
            <c:strRef>
              <c:f>'10+_Subprefeituras_2025'!$B$26:$B$26</c:f>
              <c:strCache>
                <c:ptCount val="1"/>
                <c:pt idx="0">
                  <c:v>Penha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'10+_Subprefeituras_2025'!$C$26:$C$26</c:f>
              <c:numCache>
                <c:formatCode>0.00</c:formatCode>
                <c:ptCount val="1"/>
                <c:pt idx="0">
                  <c:v>5.3992146596858639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4E-4468-BA5B-51EDE40B0C82}"/>
            </c:ext>
          </c:extLst>
        </c:ser>
        <c:ser>
          <c:idx val="6"/>
          <c:order val="6"/>
          <c:tx>
            <c:strRef>
              <c:f>'10+_Subprefeituras_2025'!$B$27:$B$27</c:f>
              <c:strCache>
                <c:ptCount val="1"/>
                <c:pt idx="0">
                  <c:v>Butantã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'10+_Subprefeituras_2025'!$C$27:$C$27</c:f>
              <c:numCache>
                <c:formatCode>0.00</c:formatCode>
                <c:ptCount val="1"/>
                <c:pt idx="0">
                  <c:v>6.9371727748691097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4E-4468-BA5B-51EDE40B0C82}"/>
            </c:ext>
          </c:extLst>
        </c:ser>
        <c:ser>
          <c:idx val="7"/>
          <c:order val="7"/>
          <c:tx>
            <c:strRef>
              <c:f>'10+_Subprefeituras_2025'!$B$28:$B$28</c:f>
              <c:strCache>
                <c:ptCount val="1"/>
                <c:pt idx="0">
                  <c:v>Lapa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'10+_Subprefeituras_2025'!$C$28:$C$28</c:f>
              <c:numCache>
                <c:formatCode>0.00</c:formatCode>
                <c:ptCount val="1"/>
                <c:pt idx="0">
                  <c:v>7.1007853403141361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4E-4468-BA5B-51EDE40B0C82}"/>
            </c:ext>
          </c:extLst>
        </c:ser>
        <c:ser>
          <c:idx val="8"/>
          <c:order val="8"/>
          <c:tx>
            <c:strRef>
              <c:f>'10+_Subprefeituras_2025'!$B$29:$B$29</c:f>
              <c:strCache>
                <c:ptCount val="1"/>
                <c:pt idx="0">
                  <c:v>Ipiranga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'10+_Subprefeituras_2025'!$C$29:$C$29</c:f>
              <c:numCache>
                <c:formatCode>0.00</c:formatCode>
                <c:ptCount val="1"/>
                <c:pt idx="0">
                  <c:v>7.6243455497382202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4E-4468-BA5B-51EDE40B0C82}"/>
            </c:ext>
          </c:extLst>
        </c:ser>
        <c:ser>
          <c:idx val="9"/>
          <c:order val="9"/>
          <c:tx>
            <c:strRef>
              <c:f>'10+_Subprefeituras_2025'!$B$30:$B$30</c:f>
              <c:strCache>
                <c:ptCount val="1"/>
                <c:pt idx="0">
                  <c:v>Sé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'10+_Subprefeituras_2025'!$C$20:$C$20</c:f>
              <c:numCache>
                <c:formatCode>General</c:formatCode>
                <c:ptCount val="1"/>
              </c:numCache>
            </c:numRef>
          </c:cat>
          <c:val>
            <c:numRef>
              <c:f>'10+_Subprefeituras_2025'!$C$30:$C$30</c:f>
              <c:numCache>
                <c:formatCode>0.00</c:formatCode>
                <c:ptCount val="1"/>
                <c:pt idx="0">
                  <c:v>7.9188481675392675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4E-4468-BA5B-51EDE40B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8439055"/>
        <c:axId val="658435727"/>
      </c:barChart>
      <c:valAx>
        <c:axId val="658435727"/>
        <c:scaling>
          <c:orientation val="minMax"/>
          <c:max val="55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9055"/>
        <c:crosses val="autoZero"/>
        <c:crossBetween val="between"/>
      </c:valAx>
      <c:catAx>
        <c:axId val="65843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88472611429863"/>
          <c:y val="0.1604852432497432"/>
          <c:w val="0.17635757284191747"/>
          <c:h val="0.81391977417298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800" b="0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pt-BR" sz="12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b="1"/>
              <a:t>Canais de Atendimento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2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'Canais_atendimento'!$E$4</c:f>
              <c:strCache>
                <c:ptCount val="1"/>
                <c:pt idx="0">
                  <c:v>3° trim 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'Canais_atendimento'!$B$5:$B$12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'Canais_atendimento'!$E$5:$E$12</c:f>
              <c:numCache>
                <c:formatCode>#,##0</c:formatCode>
                <c:ptCount val="8"/>
                <c:pt idx="0">
                  <c:v>6911</c:v>
                </c:pt>
                <c:pt idx="1">
                  <c:v>4391</c:v>
                </c:pt>
                <c:pt idx="2">
                  <c:v>3294</c:v>
                </c:pt>
                <c:pt idx="3">
                  <c:v>1522</c:v>
                </c:pt>
                <c:pt idx="4">
                  <c:v>819</c:v>
                </c:pt>
                <c:pt idx="5">
                  <c:v>466</c:v>
                </c:pt>
                <c:pt idx="6">
                  <c:v>114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1-4A3A-B744-E736045D26FE}"/>
            </c:ext>
          </c:extLst>
        </c:ser>
        <c:ser>
          <c:idx val="1"/>
          <c:order val="1"/>
          <c:tx>
            <c:strRef>
              <c:f>'Canais_atendimento'!$F$4</c:f>
              <c:strCache>
                <c:ptCount val="1"/>
                <c:pt idx="0">
                  <c:v>4° trim 2025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'Canais_atendimento'!$B$5:$B$12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'Canais_atendimento'!$F$5:$F$12</c:f>
              <c:numCache>
                <c:formatCode>#,##0</c:formatCode>
                <c:ptCount val="8"/>
                <c:pt idx="0">
                  <c:v>6618</c:v>
                </c:pt>
                <c:pt idx="1">
                  <c:v>3188</c:v>
                </c:pt>
                <c:pt idx="2">
                  <c:v>3406</c:v>
                </c:pt>
                <c:pt idx="3">
                  <c:v>1509</c:v>
                </c:pt>
                <c:pt idx="4">
                  <c:v>470</c:v>
                </c:pt>
                <c:pt idx="5">
                  <c:v>460</c:v>
                </c:pt>
                <c:pt idx="6">
                  <c:v>265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1-4A3A-B744-E736045D2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59441039"/>
        <c:axId val="659433967"/>
      </c:barChart>
      <c:valAx>
        <c:axId val="659433967"/>
        <c:scaling>
          <c:orientation val="minMax"/>
          <c:max val="8000"/>
        </c:scaling>
        <c:delete val="0"/>
        <c:axPos val="t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minorGridlines>
          <c:spPr>
            <a:ln w="9528" cap="flat" cmpd="sng" algn="ctr">
              <a:solidFill>
                <a:srgbClr val="F2F2F2"/>
              </a:solidFill>
              <a:prstDash val="solid"/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59441039"/>
        <c:crosses val="autoZero"/>
        <c:crossBetween val="between"/>
      </c:valAx>
      <c:catAx>
        <c:axId val="6594410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594339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0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Participação dos 10 Assuntos Mais Demandados nas Manifestações [ 4° trimestre 2025]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24B-4E10-B68E-15C3641B2B93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4B-4E10-B68E-15C3641B2B93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'10+_Assuntos_2025'!$B$16:$B$17</c:f>
              <c:strCache>
                <c:ptCount val="2"/>
                <c:pt idx="0">
                  <c:v>Total dos 10 Assuntos + Demandados</c:v>
                </c:pt>
                <c:pt idx="1">
                  <c:v>Outros</c:v>
                </c:pt>
              </c:strCache>
            </c:strRef>
          </c:cat>
          <c:val>
            <c:numRef>
              <c:f>'10+_Assuntos_2025'!$I$16:$I$17</c:f>
              <c:numCache>
                <c:formatCode>0.00</c:formatCode>
                <c:ptCount val="2"/>
                <c:pt idx="0">
                  <c:v>42.471198544768576</c:v>
                </c:pt>
                <c:pt idx="1">
                  <c:v>57.528801455231424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B3-4575-8226-6D117B30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dos Assuntos Mais Demandados  [4° trimestre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'10+_Assuntos_2025'!$B$20:$B$20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'10+_Assuntos_2025'!$C$20:$C$20</c:f>
              <c:numCache>
                <c:formatCode>0.00</c:formatCode>
                <c:ptCount val="1"/>
                <c:pt idx="0">
                  <c:v>2.6140268139863907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3-423F-8CA7-D71B3814E9E0}"/>
            </c:ext>
          </c:extLst>
        </c:ser>
        <c:ser>
          <c:idx val="1"/>
          <c:order val="1"/>
          <c:tx>
            <c:strRef>
              <c:f>'10+_Assuntos_2025'!$B$21:$B$21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'10+_Assuntos_2025'!$C$21:$C$21</c:f>
              <c:numCache>
                <c:formatCode>0.00</c:formatCode>
                <c:ptCount val="1"/>
                <c:pt idx="0">
                  <c:v>2.78919355925352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3-423F-8CA7-D71B3814E9E0}"/>
            </c:ext>
          </c:extLst>
        </c:ser>
        <c:ser>
          <c:idx val="2"/>
          <c:order val="2"/>
          <c:tx>
            <c:strRef>
              <c:f>'10+_Assuntos_2025'!$B$22:$B$22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'10+_Assuntos_2025'!$C$22:$C$22</c:f>
              <c:numCache>
                <c:formatCode>0.00</c:formatCode>
                <c:ptCount val="1"/>
                <c:pt idx="0">
                  <c:v>3.2877450650138114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3-423F-8CA7-D71B3814E9E0}"/>
            </c:ext>
          </c:extLst>
        </c:ser>
        <c:ser>
          <c:idx val="3"/>
          <c:order val="3"/>
          <c:tx>
            <c:strRef>
              <c:f>'10+_Assuntos_2025'!$B$23:$B$23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'10+_Assuntos_2025'!$C$23:$C$23</c:f>
              <c:numCache>
                <c:formatCode>0.00</c:formatCode>
                <c:ptCount val="1"/>
                <c:pt idx="0">
                  <c:v>3.442700262750118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3-423F-8CA7-D71B3814E9E0}"/>
            </c:ext>
          </c:extLst>
        </c:ser>
        <c:ser>
          <c:idx val="4"/>
          <c:order val="4"/>
          <c:tx>
            <c:strRef>
              <c:f>'10+_Assuntos_2025'!$B$24:$B$24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'10+_Assuntos_2025'!$C$24:$C$24</c:f>
              <c:numCache>
                <c:formatCode>0.00</c:formatCode>
                <c:ptCount val="1"/>
                <c:pt idx="0">
                  <c:v>3.671764468099441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3-423F-8CA7-D71B3814E9E0}"/>
            </c:ext>
          </c:extLst>
        </c:ser>
        <c:ser>
          <c:idx val="5"/>
          <c:order val="5"/>
          <c:tx>
            <c:strRef>
              <c:f>'10+_Assuntos_2025'!$B$25:$B$25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'10+_Assuntos_2025'!$C$25:$C$25</c:f>
              <c:numCache>
                <c:formatCode>0.00</c:formatCode>
                <c:ptCount val="1"/>
                <c:pt idx="0">
                  <c:v>4.0355723236542476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3-423F-8CA7-D71B3814E9E0}"/>
            </c:ext>
          </c:extLst>
        </c:ser>
        <c:ser>
          <c:idx val="6"/>
          <c:order val="6"/>
          <c:tx>
            <c:strRef>
              <c:f>'10+_Assuntos_2025'!$B$26:$B$26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'10+_Assuntos_2025'!$C$26:$C$26</c:f>
              <c:numCache>
                <c:formatCode>0.00</c:formatCode>
                <c:ptCount val="1"/>
                <c:pt idx="0">
                  <c:v>4.0625210536953444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3-423F-8CA7-D71B3814E9E0}"/>
            </c:ext>
          </c:extLst>
        </c:ser>
        <c:ser>
          <c:idx val="7"/>
          <c:order val="7"/>
          <c:tx>
            <c:strRef>
              <c:f>'10+_Assuntos_2025'!$B$27:$B$27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'10+_Assuntos_2025'!$C$27:$C$27</c:f>
              <c:numCache>
                <c:formatCode>0.00</c:formatCode>
                <c:ptCount val="1"/>
                <c:pt idx="0">
                  <c:v>5.0461497001953779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93-423F-8CA7-D71B3814E9E0}"/>
            </c:ext>
          </c:extLst>
        </c:ser>
        <c:ser>
          <c:idx val="8"/>
          <c:order val="8"/>
          <c:tx>
            <c:strRef>
              <c:f>'10+_Assuntos_2025'!$B$28:$B$28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'10+_Assuntos_2025'!$C$28:$C$28</c:f>
              <c:numCache>
                <c:formatCode>0.00</c:formatCode>
                <c:ptCount val="1"/>
                <c:pt idx="0">
                  <c:v>6.3127400121269286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93-423F-8CA7-D71B3814E9E0}"/>
            </c:ext>
          </c:extLst>
        </c:ser>
        <c:ser>
          <c:idx val="9"/>
          <c:order val="9"/>
          <c:tx>
            <c:strRef>
              <c:f>'10+_Assuntos_2025'!$B$29:$B$29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'10+_Assuntos_2025'!$C$19:$C$19</c:f>
              <c:numCache>
                <c:formatCode>General</c:formatCode>
                <c:ptCount val="1"/>
              </c:numCache>
            </c:numRef>
          </c:cat>
          <c:val>
            <c:numRef>
              <c:f>'10+_Assuntos_2025'!$C$29:$C$29</c:f>
              <c:numCache>
                <c:formatCode>0.00</c:formatCode>
                <c:ptCount val="1"/>
                <c:pt idx="0">
                  <c:v>7.2087852859933976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93-423F-8CA7-D71B3814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9442703"/>
        <c:axId val="659436463"/>
      </c:barChart>
      <c:valAx>
        <c:axId val="659436463"/>
        <c:scaling>
          <c:orientation val="minMax"/>
          <c:max val="45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9442703"/>
        <c:crosses val="autoZero"/>
        <c:crossBetween val="between"/>
      </c:valAx>
      <c:catAx>
        <c:axId val="65944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9436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235589894310595"/>
          <c:y val="0.19176844758929076"/>
          <c:w val="0.2885058521383399"/>
          <c:h val="0.78918534730913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8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 i="0" u="none" strike="noStrike" baseline="0">
                <a:solidFill>
                  <a:schemeClr val="tx1"/>
                </a:solidFill>
              </a:rPr>
              <a:t>10 assuntos mais solicitados [Média 2025]</a:t>
            </a:r>
            <a:endPara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'10+_Assuntos_2025'!$E$19</c:f>
              <c:strCache>
                <c:ptCount val="1"/>
                <c:pt idx="0">
                  <c:v>Quantidade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8-4FB0-BDA9-5F6D900513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8-4FB0-BDA9-5F6D900513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8-4FB0-BDA9-5F6D9005134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28-4FB0-BDA9-5F6D9005134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28-4FB0-BDA9-5F6D9005134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28-4FB0-BDA9-5F6D9005134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28-4FB0-BDA9-5F6D9005134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28-4FB0-BDA9-5F6D9005134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28-4FB0-BDA9-5F6D9005134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228-4FB0-BDA9-5F6D900513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'10+_Assuntos_2025'!$D$20:$D$29</c:f>
              <c:strCache>
                <c:ptCount val="10"/>
                <c:pt idx="0">
                  <c:v>Cadastro Único (CadÚnico)</c:v>
                </c:pt>
                <c:pt idx="1">
                  <c:v>Poluição sonora - PSIU</c:v>
                </c:pt>
                <c:pt idx="2">
                  <c:v>Ponto viciado, entulho e caçamba de entulho</c:v>
                </c:pt>
                <c:pt idx="3">
                  <c:v>Processo Administrativo</c:v>
                </c:pt>
                <c:pt idx="4">
                  <c:v>Ônibus</c:v>
                </c:pt>
                <c:pt idx="5">
                  <c:v>Árvore</c:v>
                </c:pt>
                <c:pt idx="6">
                  <c:v>Buraco e Pavimentação</c:v>
                </c:pt>
                <c:pt idx="7">
                  <c:v>Multas de trânsito e guinchamentos</c:v>
                </c:pt>
                <c:pt idx="8">
                  <c:v>Órgão externo</c:v>
                </c:pt>
                <c:pt idx="9">
                  <c:v>Qualidade de atendimento</c:v>
                </c:pt>
              </c:strCache>
            </c:strRef>
          </c:cat>
          <c:val>
            <c:numRef>
              <c:f>'10+_Assuntos_2025'!$E$20:$E$29</c:f>
              <c:numCache>
                <c:formatCode>0</c:formatCode>
                <c:ptCount val="10"/>
                <c:pt idx="0">
                  <c:v>511.5</c:v>
                </c:pt>
                <c:pt idx="1">
                  <c:v>513.25</c:v>
                </c:pt>
                <c:pt idx="2">
                  <c:v>529</c:v>
                </c:pt>
                <c:pt idx="3">
                  <c:v>686.75</c:v>
                </c:pt>
                <c:pt idx="4">
                  <c:v>730.75</c:v>
                </c:pt>
                <c:pt idx="5">
                  <c:v>783.5</c:v>
                </c:pt>
                <c:pt idx="6">
                  <c:v>784.25</c:v>
                </c:pt>
                <c:pt idx="7">
                  <c:v>825.5</c:v>
                </c:pt>
                <c:pt idx="8">
                  <c:v>854</c:v>
                </c:pt>
                <c:pt idx="9">
                  <c:v>912.75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3-4EC3-A664-7BD3CABADE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15284208"/>
        <c:axId val="615294288"/>
      </c:barChart>
      <c:catAx>
        <c:axId val="61528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15294288"/>
        <c:crosses val="autoZero"/>
        <c:auto val="1"/>
        <c:lblAlgn val="ctr"/>
        <c:lblOffset val="100"/>
        <c:noMultiLvlLbl val="0"/>
      </c:catAx>
      <c:valAx>
        <c:axId val="61529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528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spcFirstLastPara="1" vertOverflow="ellipsis" vert="horz" wrap="square" lIns="0" tIns="0" rIns="0" bIns="0" anchor="ctr" anchorCtr="1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10 Unidades mais demandadas </a:t>
            </a:r>
            <a:b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[ Média 2025]</a:t>
            </a:r>
            <a:br>
              <a:rPr lang="pt-BR" sz="110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endParaRPr lang="pt-BR" sz="1100" b="0" i="0" u="none" strike="noStrike" kern="1200" cap="none" spc="0" baseline="0">
              <a:solidFill>
                <a:srgbClr val="000000"/>
              </a:solidFill>
              <a:uFillTx/>
              <a:latin typeface="Arial" pitchFamily="34"/>
              <a:ea typeface="Calibri"/>
              <a:cs typeface="Arial" pitchFamily="34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168611145378516E-3"/>
          <c:y val="9.861727762408759E-2"/>
          <c:w val="0.93172022606152005"/>
          <c:h val="0.87440264338226958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71-4C23-BF5F-F61EF3C97E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71-4C23-BF5F-F61EF3C97E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71-4C23-BF5F-F61EF3C97E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71-4C23-BF5F-F61EF3C97EF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71-4C23-BF5F-F61EF3C97EF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71-4C23-BF5F-F61EF3C97E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71-4C23-BF5F-F61EF3C97E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71-4C23-BF5F-F61EF3C97E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71-4C23-BF5F-F61EF3C97E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71-4C23-BF5F-F61EF3C97E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'10+_Unidades_2025'!$D$21:$D$30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'10+_Unidades_2025'!$E$21:$E$30</c:f>
              <c:numCache>
                <c:formatCode>0</c:formatCode>
                <c:ptCount val="10"/>
                <c:pt idx="0">
                  <c:v>2093.5</c:v>
                </c:pt>
                <c:pt idx="1">
                  <c:v>1509.5</c:v>
                </c:pt>
                <c:pt idx="2">
                  <c:v>1412.75</c:v>
                </c:pt>
                <c:pt idx="3">
                  <c:v>1333.25</c:v>
                </c:pt>
                <c:pt idx="4">
                  <c:v>1063.25</c:v>
                </c:pt>
                <c:pt idx="5">
                  <c:v>942.25</c:v>
                </c:pt>
                <c:pt idx="6">
                  <c:v>928.25</c:v>
                </c:pt>
                <c:pt idx="7">
                  <c:v>893.5</c:v>
                </c:pt>
                <c:pt idx="8">
                  <c:v>855.25</c:v>
                </c:pt>
                <c:pt idx="9">
                  <c:v>381.75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1F-43CD-9C1E-E05289BE0D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59463087"/>
        <c:axId val="659463919"/>
      </c:barChart>
      <c:valAx>
        <c:axId val="659463919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9463087"/>
        <c:crosses val="autoZero"/>
        <c:crossBetween val="between"/>
      </c:valAx>
      <c:catAx>
        <c:axId val="659463087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b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endParaRPr lang="pt-BR"/>
          </a:p>
        </c:txPr>
        <c:crossAx val="659463919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Participação das 10 Unidades Mais Demandadas nas Manifestações [ 4° trimestre 2025]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5C6-44F1-AF8E-476FC4844387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dist="22997" dir="5400000" algn="tl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C6-44F1-AF8E-476FC4844387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'10+_Unidades_2025'!$B$16:$B$17</c:f>
              <c:strCache>
                <c:ptCount val="2"/>
                <c:pt idx="0">
                  <c:v>Total das 10 Unidades + Demandadas</c:v>
                </c:pt>
                <c:pt idx="1">
                  <c:v>Outras</c:v>
                </c:pt>
              </c:strCache>
            </c:strRef>
          </c:cat>
          <c:val>
            <c:numRef>
              <c:f>'10+_Unidades_2025'!$I$16:$I$17</c:f>
              <c:numCache>
                <c:formatCode>0.00</c:formatCode>
                <c:ptCount val="2"/>
                <c:pt idx="0">
                  <c:v>68.712524422286606</c:v>
                </c:pt>
                <c:pt idx="1">
                  <c:v>31.287475577713394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B-4B89-B060-D10C6560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1F497D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spc="0" baseline="0">
                <a:solidFill>
                  <a:srgbClr val="000000"/>
                </a:solidFill>
                <a:latin typeface="Arial" pitchFamily="34"/>
                <a:ea typeface="+mn-ea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Distribuição Percentual das Unidades Mais Demandadas  [4° trimestre 2025]</a:t>
            </a:r>
          </a:p>
        </c:rich>
      </c:tx>
      <c:layout>
        <c:manualLayout>
          <c:xMode val="edge"/>
          <c:yMode val="edge"/>
          <c:x val="0.146583203295487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1100" b="1" i="0" u="none" strike="noStrike" kern="1200" spc="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'10+_Unidades_2025'!$B$21:$B$21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'10+_Unidades_2025'!$C$21:$C$21</c:f>
              <c:numCache>
                <c:formatCode>0.00</c:formatCode>
                <c:ptCount val="1"/>
                <c:pt idx="0">
                  <c:v>2.411911338678165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7BF-9CB3-F959BB08D46E}"/>
            </c:ext>
          </c:extLst>
        </c:ser>
        <c:ser>
          <c:idx val="1"/>
          <c:order val="1"/>
          <c:tx>
            <c:strRef>
              <c:f>'10+_Unidades_2025'!$B$22:$B$22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'10+_Unidades_2025'!$C$22:$C$22</c:f>
              <c:numCache>
                <c:formatCode>0.00</c:formatCode>
                <c:ptCount val="1"/>
                <c:pt idx="0">
                  <c:v>3.2877450650138114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7BF-9CB3-F959BB08D46E}"/>
            </c:ext>
          </c:extLst>
        </c:ser>
        <c:ser>
          <c:idx val="2"/>
          <c:order val="2"/>
          <c:tx>
            <c:strRef>
              <c:f>'10+_Unidades_2025'!$B$23:$B$23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'10+_Unidades_2025'!$C$23:$C$23</c:f>
              <c:numCache>
                <c:formatCode>0.00</c:formatCode>
                <c:ptCount val="1"/>
                <c:pt idx="0">
                  <c:v>3.2877450650138114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7BF-9CB3-F959BB08D46E}"/>
            </c:ext>
          </c:extLst>
        </c:ser>
        <c:ser>
          <c:idx val="3"/>
          <c:order val="3"/>
          <c:tx>
            <c:strRef>
              <c:f>'10+_Unidades_2025'!$B$24:$B$24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'10+_Unidades_2025'!$C$24:$C$24</c:f>
              <c:numCache>
                <c:formatCode>0.00</c:formatCode>
                <c:ptCount val="1"/>
                <c:pt idx="0">
                  <c:v>4.9248804150104428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7BF-9CB3-F959BB08D46E}"/>
            </c:ext>
          </c:extLst>
        </c:ser>
        <c:ser>
          <c:idx val="4"/>
          <c:order val="4"/>
          <c:tx>
            <c:strRef>
              <c:f>'10+_Unidades_2025'!$B$25:$B$25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'10+_Unidades_2025'!$C$25:$C$25</c:f>
              <c:numCache>
                <c:formatCode>0.00</c:formatCode>
                <c:ptCount val="1"/>
                <c:pt idx="0">
                  <c:v>5.0326753351748295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7BF-9CB3-F959BB08D46E}"/>
            </c:ext>
          </c:extLst>
        </c:ser>
        <c:ser>
          <c:idx val="5"/>
          <c:order val="5"/>
          <c:tx>
            <c:strRef>
              <c:f>'10+_Unidades_2025'!$B$26:$B$26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'10+_Unidades_2025'!$C$26:$C$26</c:f>
              <c:numCache>
                <c:formatCode>0.00</c:formatCode>
                <c:ptCount val="1"/>
                <c:pt idx="0">
                  <c:v>6.0095667991645891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7BF-9CB3-F959BB08D46E}"/>
            </c:ext>
          </c:extLst>
        </c:ser>
        <c:ser>
          <c:idx val="6"/>
          <c:order val="6"/>
          <c:tx>
            <c:strRef>
              <c:f>'10+_Unidades_2025'!$B$27:$B$27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'10+_Unidades_2025'!$C$27:$C$27</c:f>
              <c:numCache>
                <c:formatCode>0.00</c:formatCode>
                <c:ptCount val="1"/>
                <c:pt idx="0">
                  <c:v>7.053830088257091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7BF-9CB3-F959BB08D46E}"/>
            </c:ext>
          </c:extLst>
        </c:ser>
        <c:ser>
          <c:idx val="7"/>
          <c:order val="7"/>
          <c:tx>
            <c:strRef>
              <c:f>'10+_Unidades_2025'!$B$28:$B$28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'10+_Unidades_2025'!$C$28:$C$28</c:f>
              <c:numCache>
                <c:formatCode>0.00</c:formatCode>
                <c:ptCount val="1"/>
                <c:pt idx="0">
                  <c:v>9.1962541265242876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7BF-9CB3-F959BB08D46E}"/>
            </c:ext>
          </c:extLst>
        </c:ser>
        <c:ser>
          <c:idx val="8"/>
          <c:order val="8"/>
          <c:tx>
            <c:strRef>
              <c:f>'10+_Unidades_2025'!$B$29:$B$29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'10+_Unidades_2025'!$C$29:$C$29</c:f>
              <c:numCache>
                <c:formatCode>0.00</c:formatCode>
                <c:ptCount val="1"/>
                <c:pt idx="0">
                  <c:v>10.91423566664421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7BF-9CB3-F959BB08D46E}"/>
            </c:ext>
          </c:extLst>
        </c:ser>
        <c:ser>
          <c:idx val="9"/>
          <c:order val="9"/>
          <c:tx>
            <c:strRef>
              <c:f>'10+_Unidades_2025'!$B$30:$B$30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Arial" pitchFamily="34"/>
                    <a:ea typeface="+mn-ea"/>
                    <a:cs typeface="Arial" pitchFamily="34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'10+_Unidades_2025'!$C$20:$C$20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'10+_Unidades_2025'!$C$30:$C$30</c:f>
              <c:numCache>
                <c:formatCode>0.00</c:formatCode>
                <c:ptCount val="1"/>
                <c:pt idx="0">
                  <c:v>16.593680522805364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7BF-9CB3-F959BB08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58431567"/>
        <c:axId val="658437807"/>
      </c:barChart>
      <c:valAx>
        <c:axId val="658437807"/>
        <c:scaling>
          <c:orientation val="minMax"/>
          <c:max val="7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1567"/>
        <c:crosses val="autoZero"/>
        <c:crossBetween val="between"/>
      </c:valAx>
      <c:catAx>
        <c:axId val="6584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pt-BR"/>
          </a:p>
        </c:txPr>
        <c:crossAx val="658437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19026100944053"/>
          <c:y val="6.9481084680876701E-2"/>
          <c:w val="0.34108710924494251"/>
          <c:h val="0.930518915319123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800" b="0" i="0" u="none" strike="noStrike" kern="1200" baseline="0">
              <a:solidFill>
                <a:srgbClr val="000000"/>
              </a:solidFill>
              <a:latin typeface="Arial" pitchFamily="34"/>
              <a:ea typeface="+mn-ea"/>
              <a:cs typeface="Arial" pitchFamily="34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spcFirstLastPara="1" vertOverflow="ellipsis" vert="horz" wrap="square" lIns="0" tIns="0" rIns="0" bIns="0" anchor="ctr" anchorCtr="1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100" b="1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10 Subprefeituras mais demandadas </a:t>
            </a:r>
            <a:b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  <a:t>[Média 2025]</a:t>
            </a:r>
            <a:b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Calibri"/>
                <a:cs typeface="Arial" pitchFamily="34"/>
              </a:rPr>
            </a:br>
            <a:endParaRPr lang="pt-BR" sz="1100" b="1" i="0" u="none" strike="noStrike" kern="1200" cap="none" spc="0" baseline="0">
              <a:solidFill>
                <a:srgbClr val="000000"/>
              </a:solidFill>
              <a:uFillTx/>
              <a:latin typeface="Arial" pitchFamily="34"/>
              <a:ea typeface="Calibri"/>
              <a:cs typeface="Arial" pitchFamily="34"/>
            </a:endParaRPr>
          </a:p>
        </c:rich>
      </c:tx>
      <c:layout>
        <c:manualLayout>
          <c:xMode val="edge"/>
          <c:yMode val="edge"/>
          <c:x val="0.17420830749378285"/>
          <c:y val="8.699333233781908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168230137813513E-3"/>
          <c:y val="9.8617331172428102E-2"/>
          <c:w val="0.93171945958128621"/>
          <c:h val="0.874402406039209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6E-4B83-9399-CB7F69914E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E-4B83-9399-CB7F69914E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6E-4B83-9399-CB7F69914E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E-4B83-9399-CB7F69914E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6E-4B83-9399-CB7F69914E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6E-4B83-9399-CB7F69914E7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C6E-4B83-9399-CB7F69914E7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6E-4B83-9399-CB7F69914E7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C6E-4B83-9399-CB7F69914E7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6E-4B83-9399-CB7F69914E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'10+_Subprefeituras_2025'!$D$21:$D$30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Penha</c:v>
                </c:pt>
                <c:pt idx="5">
                  <c:v>Pirituba/Jaraguá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'10+_Subprefeituras_2025'!$E$21:$E$30</c:f>
              <c:numCache>
                <c:formatCode>0</c:formatCode>
                <c:ptCount val="10"/>
                <c:pt idx="0">
                  <c:v>300</c:v>
                </c:pt>
                <c:pt idx="1">
                  <c:v>233.5</c:v>
                </c:pt>
                <c:pt idx="2">
                  <c:v>223</c:v>
                </c:pt>
                <c:pt idx="3">
                  <c:v>211</c:v>
                </c:pt>
                <c:pt idx="4">
                  <c:v>172.5</c:v>
                </c:pt>
                <c:pt idx="5">
                  <c:v>172.5</c:v>
                </c:pt>
                <c:pt idx="6">
                  <c:v>157.25</c:v>
                </c:pt>
                <c:pt idx="7">
                  <c:v>146.75</c:v>
                </c:pt>
                <c:pt idx="8">
                  <c:v>145.75</c:v>
                </c:pt>
                <c:pt idx="9">
                  <c:v>141.25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97-4B17-9B73-F94CDA7F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8420335"/>
        <c:axId val="658429903"/>
      </c:barChart>
      <c:valAx>
        <c:axId val="658429903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8420335"/>
        <c:crosses val="autoZero"/>
        <c:crossBetween val="between"/>
      </c:valAx>
      <c:catAx>
        <c:axId val="658420335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rgbClr val="FFFFFF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itchFamily="34"/>
                <a:ea typeface="Calibri"/>
                <a:cs typeface="Arial" pitchFamily="34"/>
              </a:defRPr>
            </a:pPr>
            <a:endParaRPr lang="pt-BR"/>
          </a:p>
        </c:txPr>
        <c:crossAx val="658429903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rgbClr val="1F497D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11</xdr:row>
      <xdr:rowOff>84664</xdr:rowOff>
    </xdr:from>
    <xdr:ext cx="8953500" cy="284903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65882</xdr:colOff>
      <xdr:row>13</xdr:row>
      <xdr:rowOff>55302</xdr:rowOff>
    </xdr:from>
    <xdr:ext cx="4172743" cy="5266792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8</xdr:col>
      <xdr:colOff>66674</xdr:colOff>
      <xdr:row>13</xdr:row>
      <xdr:rowOff>88106</xdr:rowOff>
    </xdr:from>
    <xdr:to>
      <xdr:col>12</xdr:col>
      <xdr:colOff>995362</xdr:colOff>
      <xdr:row>14</xdr:row>
      <xdr:rowOff>850106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4711C6D-4623-2791-9DEE-39C26240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4" y="3183731"/>
          <a:ext cx="4595813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765702</xdr:colOff>
      <xdr:row>21</xdr:row>
      <xdr:rowOff>4762</xdr:rowOff>
    </xdr:from>
    <xdr:ext cx="4663547" cy="3319463"/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168127</xdr:colOff>
      <xdr:row>16</xdr:row>
      <xdr:rowOff>139248</xdr:rowOff>
    </xdr:from>
    <xdr:ext cx="4270523" cy="4404177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1</xdr:col>
      <xdr:colOff>4761</xdr:colOff>
      <xdr:row>16</xdr:row>
      <xdr:rowOff>147637</xdr:rowOff>
    </xdr:from>
    <xdr:to>
      <xdr:col>3</xdr:col>
      <xdr:colOff>85724</xdr:colOff>
      <xdr:row>31</xdr:row>
      <xdr:rowOff>847725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C2A576B-7760-A189-5075-0D34DCA44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778329</xdr:colOff>
      <xdr:row>16</xdr:row>
      <xdr:rowOff>151039</xdr:rowOff>
    </xdr:from>
    <xdr:to>
      <xdr:col>12</xdr:col>
      <xdr:colOff>1019175</xdr:colOff>
      <xdr:row>20</xdr:row>
      <xdr:rowOff>190500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11C6D-4623-2791-9DEE-39C26240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729" y="4656364"/>
          <a:ext cx="4650921" cy="101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361951</xdr:colOff>
      <xdr:row>16</xdr:row>
      <xdr:rowOff>116153</xdr:rowOff>
    </xdr:from>
    <xdr:ext cx="4638674" cy="4808272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695328</xdr:colOff>
      <xdr:row>21</xdr:row>
      <xdr:rowOff>1</xdr:rowOff>
    </xdr:from>
    <xdr:ext cx="4571997" cy="3686174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47625</xdr:colOff>
      <xdr:row>16</xdr:row>
      <xdr:rowOff>120648</xdr:rowOff>
    </xdr:from>
    <xdr:ext cx="4181475" cy="481330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8</xdr:col>
      <xdr:colOff>695325</xdr:colOff>
      <xdr:row>16</xdr:row>
      <xdr:rowOff>133350</xdr:rowOff>
    </xdr:from>
    <xdr:to>
      <xdr:col>13</xdr:col>
      <xdr:colOff>27214</xdr:colOff>
      <xdr:row>20</xdr:row>
      <xdr:rowOff>153761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11C6D-4623-2791-9DEE-39C26240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4581525"/>
          <a:ext cx="4589689" cy="101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122508</xdr:rowOff>
    </xdr:from>
    <xdr:ext cx="4133850" cy="4335192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1095375</xdr:colOff>
      <xdr:row>20</xdr:row>
      <xdr:rowOff>200025</xdr:rowOff>
    </xdr:from>
    <xdr:ext cx="4572000" cy="326707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  <a:ext uri="{147F2762-F138-4A5C-976F-8EAC2B608ADB}">
              <a16:predDERef xmlns:a16="http://schemas.microsoft.com/office/drawing/2014/main" pre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278337</xdr:colOff>
      <xdr:row>16</xdr:row>
      <xdr:rowOff>136527</xdr:rowOff>
    </xdr:from>
    <xdr:ext cx="4350813" cy="4321173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8</xdr:col>
      <xdr:colOff>1085850</xdr:colOff>
      <xdr:row>16</xdr:row>
      <xdr:rowOff>133350</xdr:rowOff>
    </xdr:from>
    <xdr:to>
      <xdr:col>12</xdr:col>
      <xdr:colOff>1017814</xdr:colOff>
      <xdr:row>20</xdr:row>
      <xdr:rowOff>153761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11C6D-4623-2791-9DEE-39C26240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4619625"/>
          <a:ext cx="4589689" cy="101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pos_de_Manifestação" displayName="Tipos_de_Manifestação" ref="B4:I11" totalsRowCount="1" headerRowDxfId="193" dataDxfId="192" totalsRowDxfId="191">
  <autoFilter ref="B4:I10" xr:uid="{00000000-0009-0000-0100-000001000000}"/>
  <sortState xmlns:xlrd2="http://schemas.microsoft.com/office/spreadsheetml/2017/richdata2" ref="B5:I10">
    <sortCondition descending="1" ref="G4:G10"/>
  </sortState>
  <tableColumns count="8">
    <tableColumn id="1" xr3:uid="{00000000-0010-0000-0000-000001000000}" name="Tipos de Manifestação" totalsRowLabel="Total" dataDxfId="190" totalsRowDxfId="189"/>
    <tableColumn id="2" xr3:uid="{00000000-0010-0000-0000-000002000000}" name="1º Trimestre de 2025" totalsRowFunction="sum" dataDxfId="188" totalsRowDxfId="187"/>
    <tableColumn id="3" xr3:uid="{00000000-0010-0000-0000-000003000000}" name="2º Trimestre de 2025" totalsRowFunction="sum" dataDxfId="186" totalsRowDxfId="185"/>
    <tableColumn id="4" xr3:uid="{00000000-0010-0000-0000-000004000000}" name="3º Trimestre de 2025" totalsRowFunction="sum" dataDxfId="184" totalsRowDxfId="183"/>
    <tableColumn id="5" xr3:uid="{00000000-0010-0000-0000-000005000000}" name="4º Trimestre de 2025" totalsRowFunction="sum" dataDxfId="182" totalsRowDxfId="181"/>
    <tableColumn id="6" xr3:uid="{00000000-0010-0000-0000-000006000000}" name="Total" totalsRowFunction="sum" dataDxfId="180" totalsRowDxfId="179">
      <calculatedColumnFormula>SUM(Tipos_de_Manifestação[[#This Row],[1º Trimestre de 2025]:[4º Trimestre de 2025]])</calculatedColumnFormula>
    </tableColumn>
    <tableColumn id="7" xr3:uid="{00000000-0010-0000-0000-000007000000}" name="Média" totalsRowFunction="sum" dataDxfId="178" totalsRowDxfId="177">
      <calculatedColumnFormula>AVERAGE(Tipos_de_Manifestação[[#This Row],[1º Trimestre de 2025]:[4º Trimestre de 2025]])</calculatedColumnFormula>
    </tableColumn>
    <tableColumn id="8" xr3:uid="{00000000-0010-0000-0000-000008000000}" name="%Total" totalsRowFunction="sum" dataDxfId="176" totalsRowDxfId="175">
      <calculatedColumnFormula>Tipos_de_Manifestação[[#This Row],[Total]]/Tipos_de_Manifestação[[#Totals],[Total]]*100</calculatedColumnFormula>
    </tableColumn>
  </tableColumns>
  <tableStyleInfo name="TableStyleLight13" showFirstColumn="0" showLastColumn="1" showRowStripes="1" showColumnStripes="1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Subprefeituras_2025" displayName="Subprefeituras_2025" ref="A4:H37" totalsRowCount="1" headerRowDxfId="83" dataDxfId="82" totalsRowDxfId="81">
  <autoFilter ref="A4:H36" xr:uid="{00000000-0009-0000-0100-000009000000}"/>
  <sortState xmlns:xlrd2="http://schemas.microsoft.com/office/spreadsheetml/2017/richdata2" ref="A5:H36">
    <sortCondition ref="A4:A36"/>
  </sortState>
  <tableColumns count="8">
    <tableColumn id="1" xr3:uid="{00000000-0010-0000-0900-000001000000}" name="Subprefeituras PMSP*" totalsRowLabel="Total" dataDxfId="80" totalsRowDxfId="25"/>
    <tableColumn id="2" xr3:uid="{00000000-0010-0000-0900-000002000000}" name="1° trim 2025" totalsRowFunction="sum" dataDxfId="79" totalsRowDxfId="24"/>
    <tableColumn id="3" xr3:uid="{00000000-0010-0000-0900-000003000000}" name="2° trim 2025" totalsRowFunction="sum" dataDxfId="78" totalsRowDxfId="23"/>
    <tableColumn id="4" xr3:uid="{00000000-0010-0000-0900-000004000000}" name="3° trim 2025" totalsRowFunction="sum" dataDxfId="77" totalsRowDxfId="22"/>
    <tableColumn id="5" xr3:uid="{00000000-0010-0000-0900-000005000000}" name="4° trim 2025" totalsRowFunction="sum" dataDxfId="18" totalsRowDxfId="17"/>
    <tableColumn id="6" xr3:uid="{00000000-0010-0000-0900-000006000000}" name="Total" totalsRowFunction="sum" dataDxfId="76" totalsRowDxfId="21">
      <calculatedColumnFormula>SUM(Subprefeituras_2025[[#This Row],[1° trim 2025]:[4° trim 2025]])</calculatedColumnFormula>
    </tableColumn>
    <tableColumn id="7" xr3:uid="{00000000-0010-0000-0900-000007000000}" name="Média" totalsRowFunction="sum" dataDxfId="75" totalsRowDxfId="20">
      <calculatedColumnFormula>AVERAGE(Subprefeituras_2025[[#This Row],[1° trim 2025]:[4° trim 2025]])</calculatedColumnFormula>
    </tableColumn>
    <tableColumn id="8" xr3:uid="{00000000-0010-0000-0900-000008000000}" name="% Total dentre as subprefeituras" totalsRowFunction="sum" dataDxfId="74" totalsRowDxfId="19" dataCellStyle="Porcentagem" totalsRowCellStyle="Porcentagem">
      <calculatedColumnFormula>(Subprefeituras_2025[[#This Row],[Total]]/Subprefeituras_2025[[#Totals],[Total]])</calculatedColumnFormula>
    </tableColumn>
  </tableColumns>
  <tableStyleInfo name="TableStyleLight13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otal_Protocolos" displayName="Total_Protocolos" ref="K4:M9" totalsRowShown="0" headerRowDxfId="174" dataDxfId="173">
  <tableColumns count="3">
    <tableColumn id="1" xr3:uid="{00000000-0010-0000-0100-000001000000}" name="Trimestres" dataDxfId="172"/>
    <tableColumn id="2" xr3:uid="{00000000-0010-0000-0100-000002000000}" name="Protocolos" dataDxfId="171"/>
    <tableColumn id="3" xr3:uid="{00000000-0010-0000-0100-000003000000}" name="variação**" dataDxfId="170"/>
  </tableColumns>
  <tableStyleInfo name="TableStyleLight13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nais_Atendimento" displayName="Canais_Atendimento" ref="B4:M13" totalsRowCount="1" headerRowDxfId="169" dataDxfId="168" totalsRowDxfId="167">
  <autoFilter ref="B4:M12" xr:uid="{00000000-0009-0000-0100-000003000000}"/>
  <sortState xmlns:xlrd2="http://schemas.microsoft.com/office/spreadsheetml/2017/richdata2" ref="B6:M12">
    <sortCondition descending="1" ref="G5:G12"/>
  </sortState>
  <tableColumns count="12">
    <tableColumn id="1" xr3:uid="{00000000-0010-0000-0200-000001000000}" name="ATENDIMENTOS" totalsRowLabel="Total" dataDxfId="166" totalsRowDxfId="72"/>
    <tableColumn id="2" xr3:uid="{00000000-0010-0000-0200-000002000000}" name="1° trim 2025" totalsRowFunction="sum" dataDxfId="165" totalsRowDxfId="71"/>
    <tableColumn id="3" xr3:uid="{00000000-0010-0000-0200-000003000000}" name="2° trim 2025" totalsRowFunction="sum" dataDxfId="164" totalsRowDxfId="70"/>
    <tableColumn id="4" xr3:uid="{00000000-0010-0000-0200-000004000000}" name="3° trim 2025" totalsRowFunction="sum" dataDxfId="163" totalsRowDxfId="69"/>
    <tableColumn id="5" xr3:uid="{00000000-0010-0000-0200-000005000000}" name="4° trim 2025" totalsRowFunction="sum" dataDxfId="162" totalsRowDxfId="68"/>
    <tableColumn id="6" xr3:uid="{00000000-0010-0000-0200-000006000000}" name="Total" totalsRowFunction="sum" dataDxfId="161" totalsRowDxfId="67">
      <calculatedColumnFormula>SUM(Canais_Atendimento[[#This Row],[1° trim 2025]:[4° trim 2025]])</calculatedColumnFormula>
    </tableColumn>
    <tableColumn id="7" xr3:uid="{00000000-0010-0000-0200-000007000000}" name="Média" totalsRowFunction="sum" dataDxfId="160" totalsRowDxfId="66">
      <calculatedColumnFormula>AVERAGE(Canais_Atendimento[[#This Row],[1° trim 2025]:[4° trim 2025]])</calculatedColumnFormula>
    </tableColumn>
    <tableColumn id="8" xr3:uid="{00000000-0010-0000-0200-000008000000}" name="%Total" totalsRowFunction="sum" dataDxfId="73" totalsRowDxfId="65" dataCellStyle="Porcentagem">
      <calculatedColumnFormula>Canais_Atendimento[[#This Row],[Total]]/Canais_Atendimento[[#Totals],[Total]]</calculatedColumnFormula>
    </tableColumn>
    <tableColumn id="9" xr3:uid="{00000000-0010-0000-0200-000009000000}" name="Variação % (T2 vs T1) 2025" dataDxfId="159" totalsRowDxfId="64">
      <calculatedColumnFormula>((Canais_Atendimento[[#This Row],[2° trim 2025]]-Canais_Atendimento[[#This Row],[1° trim 2025]])/Canais_Atendimento[[#This Row],[1° trim 2025]])</calculatedColumnFormula>
    </tableColumn>
    <tableColumn id="10" xr3:uid="{00000000-0010-0000-0200-00000A000000}" name="Variação % (T3 vs T2) 2025" dataDxfId="158" totalsRowDxfId="63">
      <calculatedColumnFormula>((Canais_Atendimento[[#This Row],[3° trim 2025]]-Canais_Atendimento[[#This Row],[2° trim 2025]])/Canais_Atendimento[[#This Row],[2° trim 2025]])</calculatedColumnFormula>
    </tableColumn>
    <tableColumn id="11" xr3:uid="{00000000-0010-0000-0200-00000B000000}" name="Variação % (T4 vs T3) 2025" dataDxfId="157" totalsRowDxfId="62">
      <calculatedColumnFormula>((Canais_Atendimento[[#This Row],[4° trim 2025]]-Canais_Atendimento[[#This Row],[3° trim 2025]])/Canais_Atendimento[[#This Row],[3° trim 2025]])</calculatedColumnFormula>
    </tableColumn>
    <tableColumn id="12" xr3:uid="{00000000-0010-0000-0200-00000C000000}" name="Variação % global em 2025 (T4 vs T1)" dataDxfId="156" totalsRowDxfId="61">
      <calculatedColumnFormula>((Canais_Atendimento[[#This Row],[4° trim 2025]]-Canais_Atendimento[[#This Row],[1° trim 2025]])/Canais_Atendimento[[#This Row],[1° trim 2025]])</calculatedColumnFormula>
    </tableColumn>
  </tableColumns>
  <tableStyleInfo name="TableStyleLight13" showFirstColumn="0" showLastColumn="0" showRowStripes="1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ssuntos_10mais" displayName="Assuntos_10mais" ref="B5:M16" totalsRowCount="1" headerRowDxfId="155" dataDxfId="154" totalsRowDxfId="153">
  <autoFilter ref="B5:M15" xr:uid="{00000000-0009-0000-0100-000004000000}"/>
  <sortState xmlns:xlrd2="http://schemas.microsoft.com/office/spreadsheetml/2017/richdata2" ref="B6:M15">
    <sortCondition descending="1" ref="F5:F15"/>
  </sortState>
  <tableColumns count="12">
    <tableColumn id="1" xr3:uid="{00000000-0010-0000-0300-000001000000}" name="ASSUNTO (Guia Portal 156)*" totalsRowLabel="Total dos 10 Assuntos + Demandados" dataDxfId="152" totalsRowDxfId="37"/>
    <tableColumn id="2" xr3:uid="{00000000-0010-0000-0300-000002000000}" name="1° trim 2025" totalsRowFunction="sum" dataDxfId="151" totalsRowDxfId="36"/>
    <tableColumn id="3" xr3:uid="{00000000-0010-0000-0300-000003000000}" name="2° trim 2025" totalsRowFunction="sum" dataDxfId="150" totalsRowDxfId="35"/>
    <tableColumn id="4" xr3:uid="{00000000-0010-0000-0300-000004000000}" name="3° trim 2025" totalsRowFunction="sum" dataDxfId="42" totalsRowDxfId="34"/>
    <tableColumn id="5" xr3:uid="{00000000-0010-0000-0300-000005000000}" name="4° trim 2025" totalsRowFunction="sum" dataDxfId="40" totalsRowDxfId="33"/>
    <tableColumn id="6" xr3:uid="{00000000-0010-0000-0300-000006000000}" name="Total" totalsRowFunction="sum" dataDxfId="41" totalsRowDxfId="32"/>
    <tableColumn id="7" xr3:uid="{00000000-0010-0000-0300-000007000000}" name="Média" totalsRowFunction="sum" dataDxfId="60" totalsRowDxfId="31"/>
    <tableColumn id="8" xr3:uid="{00000000-0010-0000-0300-000008000000}" name="% em relação ao total geral do 4° trim. 2025 (excetuando-se denúncias)" totalsRowFunction="sum" dataDxfId="58" totalsRowDxfId="30">
      <calculatedColumnFormula>(F6*100)/$I$1</calculatedColumnFormula>
    </tableColumn>
    <tableColumn id="9" xr3:uid="{00000000-0010-0000-0300-000009000000}" name="Variação % (T2 vs T1) 2025" dataDxfId="59" totalsRowDxfId="29" dataCellStyle="Porcentagem">
      <calculatedColumnFormula>((Assuntos_10mais[[#This Row],[2° trim 2025]]-Assuntos_10mais[[#This Row],[1° trim 2025]])/Assuntos_10mais[[#This Row],[1° trim 2025]])</calculatedColumnFormula>
    </tableColumn>
    <tableColumn id="10" xr3:uid="{00000000-0010-0000-0300-00000A000000}" name="Variação % (T3 vs T2) 2025" dataDxfId="149" totalsRowDxfId="28" dataCellStyle="Porcentagem">
      <calculatedColumnFormula>((Assuntos_10mais[[#This Row],[3° trim 2025]]-Assuntos_10mais[[#This Row],[2° trim 2025]])/Assuntos_10mais[[#This Row],[2° trim 2025]])</calculatedColumnFormula>
    </tableColumn>
    <tableColumn id="11" xr3:uid="{00000000-0010-0000-0300-00000B000000}" name="Variação % (T4 vs T3) 2025" dataDxfId="148" totalsRowDxfId="27" dataCellStyle="Porcentagem">
      <calculatedColumnFormula>((Assuntos_10mais[[#This Row],[4° trim 2025]]-Assuntos_10mais[[#This Row],[3° trim 2025]])/Assuntos_10mais[[#This Row],[3° trim 2025]])</calculatedColumnFormula>
    </tableColumn>
    <tableColumn id="12" xr3:uid="{00000000-0010-0000-0300-00000C000000}" name="Variação % global em 2025 (T4 vs T1)" dataDxfId="147" totalsRowDxfId="26" dataCellStyle="Porcentagem">
      <calculatedColumnFormula>((Assuntos_10mais[[#This Row],[4° trim 2025]]-Assuntos_10mais[[#This Row],[1° trim 2025]])/Assuntos_10mais[[#This Row],[1° trim 2025]])</calculatedColumnFormula>
    </tableColumn>
  </tableColumns>
  <tableStyleInfo name="TableStyleLight13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graf_10_mais_assuntos" displayName="graf_10_mais_assuntos" ref="D19:E29" totalsRowShown="0" headerRowDxfId="146" dataDxfId="145">
  <autoFilter ref="D19:E29" xr:uid="{00000000-0009-0000-0100-00000B000000}">
    <filterColumn colId="0" hiddenButton="1"/>
    <filterColumn colId="1" hiddenButton="1"/>
  </autoFilter>
  <sortState xmlns:xlrd2="http://schemas.microsoft.com/office/spreadsheetml/2017/richdata2" ref="D20:E29">
    <sortCondition ref="E19:E29"/>
  </sortState>
  <tableColumns count="2">
    <tableColumn id="1" xr3:uid="{00000000-0010-0000-0400-000001000000}" name="Assunto" dataDxfId="144"/>
    <tableColumn id="2" xr3:uid="{00000000-0010-0000-0400-000002000000}" name="Quantidade" dataDxfId="14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Assuntos_2025" displayName="Assuntos_2025" ref="A4:H262" totalsRowCount="1" headerRowDxfId="142" dataDxfId="141" totalsRowDxfId="140">
  <autoFilter ref="A4:H261" xr:uid="{00000000-0009-0000-0100-000005000000}"/>
  <sortState xmlns:xlrd2="http://schemas.microsoft.com/office/spreadsheetml/2017/richdata2" ref="A5:H261">
    <sortCondition ref="A4:A261"/>
  </sortState>
  <tableColumns count="8">
    <tableColumn id="1" xr3:uid="{00000000-0010-0000-0500-000001000000}" name="ASSUNTO (Guia Portal 156)*" totalsRowLabel="Total Geral" dataDxfId="139" totalsRowDxfId="138"/>
    <tableColumn id="2" xr3:uid="{00000000-0010-0000-0500-000002000000}" name="1° trim 2025" totalsRowFunction="sum" dataDxfId="137" totalsRowDxfId="136"/>
    <tableColumn id="3" xr3:uid="{00000000-0010-0000-0500-000003000000}" name="2° trim 2025" totalsRowFunction="sum" dataDxfId="135" totalsRowDxfId="134"/>
    <tableColumn id="4" xr3:uid="{00000000-0010-0000-0500-000004000000}" name="3° trim 2025" totalsRowFunction="sum" dataDxfId="133" totalsRowDxfId="132"/>
    <tableColumn id="5" xr3:uid="{00000000-0010-0000-0500-000005000000}" name="4° trim 2025" totalsRowFunction="sum" dataDxfId="131" totalsRowDxfId="130"/>
    <tableColumn id="6" xr3:uid="{00000000-0010-0000-0500-000006000000}" name="Total" totalsRowFunction="sum" dataDxfId="129" totalsRowDxfId="128">
      <calculatedColumnFormula>SUM(Assuntos_2025[[#This Row],[1° trim 2025]:[4° trim 2025]])</calculatedColumnFormula>
    </tableColumn>
    <tableColumn id="7" xr3:uid="{00000000-0010-0000-0500-000007000000}" name="Média" totalsRowFunction="sum" dataDxfId="127" totalsRowDxfId="126">
      <calculatedColumnFormula>AVERAGE(Assuntos_2025[[#This Row],[1° trim 2025]:[4° trim 2025]])</calculatedColumnFormula>
    </tableColumn>
    <tableColumn id="8" xr3:uid="{00000000-0010-0000-0500-000008000000}" name="% Total" totalsRowFunction="sum" dataDxfId="125" totalsRowDxfId="124" dataCellStyle="Porcentagem">
      <calculatedColumnFormula>(Assuntos_2025[[#This Row],[Total]]/Assuntos_2025[[#Totals],[Total]])</calculatedColumnFormula>
    </tableColumn>
  </tableColumns>
  <tableStyleInfo name="TableStyleLight13" showFirstColumn="0" showLastColumn="0" showRowStripes="1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Unidades_10mais" displayName="Unidades_10mais" ref="B5:M16" totalsRowCount="1" headerRowDxfId="123" dataDxfId="122" totalsRowDxfId="121">
  <autoFilter ref="B5:M15" xr:uid="{00000000-0009-0000-0100-000006000000}"/>
  <sortState xmlns:xlrd2="http://schemas.microsoft.com/office/spreadsheetml/2017/richdata2" ref="B6:M15">
    <sortCondition descending="1" ref="F5:F15"/>
  </sortState>
  <tableColumns count="12">
    <tableColumn id="1" xr3:uid="{00000000-0010-0000-0600-000001000000}" name="Unidades PMSP*" totalsRowLabel="Total das 10 Unidades + Demandadas" dataDxfId="120" totalsRowDxfId="54"/>
    <tableColumn id="2" xr3:uid="{00000000-0010-0000-0600-000002000000}" name="1° trim 2025" totalsRowFunction="sum" dataDxfId="119" totalsRowDxfId="53"/>
    <tableColumn id="3" xr3:uid="{00000000-0010-0000-0600-000003000000}" name="2° trim 2025" totalsRowFunction="sum" dataDxfId="3" totalsRowDxfId="52"/>
    <tableColumn id="4" xr3:uid="{00000000-0010-0000-0600-000004000000}" name="3° trim 2025" totalsRowFunction="sum" dataDxfId="2" totalsRowDxfId="51"/>
    <tableColumn id="5" xr3:uid="{00000000-0010-0000-0600-000005000000}" name="4° trim 2025" totalsRowFunction="sum" dataDxfId="0" totalsRowDxfId="50"/>
    <tableColumn id="6" xr3:uid="{00000000-0010-0000-0600-000006000000}" name="Total" totalsRowFunction="sum" dataDxfId="1" totalsRowDxfId="49"/>
    <tableColumn id="7" xr3:uid="{00000000-0010-0000-0600-000007000000}" name="Média" totalsRowFunction="sum" dataDxfId="55" totalsRowDxfId="48">
      <calculatedColumnFormula>AVERAGE(C6:F6)</calculatedColumnFormula>
    </tableColumn>
    <tableColumn id="8" xr3:uid="{00000000-0010-0000-0600-000008000000}" name="% em relação ao total geral do 4° trim. 2025 (excetuando-se denúncias)" totalsRowFunction="sum" dataDxfId="56" totalsRowDxfId="47">
      <calculatedColumnFormula>(F6*100)/$I$1</calculatedColumnFormula>
    </tableColumn>
    <tableColumn id="9" xr3:uid="{00000000-0010-0000-0600-000009000000}" name="Variação % (T2 vs T1) 2025" dataDxfId="57" totalsRowDxfId="46">
      <calculatedColumnFormula>((Unidades_10mais[[#This Row],[2° trim 2025]]-Unidades_10mais[[#This Row],[1° trim 2025]])/Unidades_10mais[[#This Row],[1° trim 2025]])</calculatedColumnFormula>
    </tableColumn>
    <tableColumn id="10" xr3:uid="{00000000-0010-0000-0600-00000A000000}" name="Variação % (T3 vs T2) 2025" dataDxfId="118" totalsRowDxfId="45">
      <calculatedColumnFormula>((Unidades_10mais[[#This Row],[3° trim 2025]]-Unidades_10mais[[#This Row],[2° trim 2025]])/Unidades_10mais[[#This Row],[2° trim 2025]])</calculatedColumnFormula>
    </tableColumn>
    <tableColumn id="11" xr3:uid="{00000000-0010-0000-0600-00000B000000}" name="Variação % (T4 vs T3) 2025" dataDxfId="117" totalsRowDxfId="44">
      <calculatedColumnFormula>((Unidades_10mais[[#This Row],[4° trim 2025]]-Unidades_10mais[[#This Row],[3° trim 2025]])/Unidades_10mais[[#This Row],[3° trim 2025]])</calculatedColumnFormula>
    </tableColumn>
    <tableColumn id="12" xr3:uid="{00000000-0010-0000-0600-00000C000000}" name="Variação % global em 2025 (T4 vs T1)" dataDxfId="116" totalsRowDxfId="43">
      <calculatedColumnFormula>((Unidades_10mais[[#This Row],[4° trim 2025]]-Unidades_10mais[[#This Row],[1° trim 2025]])/Unidades_10mais[[#This Row],[1° trim 2025]])</calculatedColumnFormula>
    </tableColumn>
  </tableColumns>
  <tableStyleInfo name="TableStyleLight13" showFirstColumn="0" showLastColumn="0" showRowStripes="1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Unidades_2025" displayName="Unidades_2025" ref="A4:H71" totalsRowCount="1" headerRowDxfId="115" dataDxfId="114" totalsRowDxfId="113">
  <autoFilter ref="A4:H70" xr:uid="{00000000-0009-0000-0100-000007000000}"/>
  <sortState xmlns:xlrd2="http://schemas.microsoft.com/office/spreadsheetml/2017/richdata2" ref="A5:H70">
    <sortCondition ref="A4:A70"/>
  </sortState>
  <tableColumns count="8">
    <tableColumn id="1" xr3:uid="{00000000-0010-0000-0700-000001000000}" name="Unidades PMSP*" totalsRowLabel="Total Geral" dataDxfId="112" totalsRowDxfId="111"/>
    <tableColumn id="2" xr3:uid="{00000000-0010-0000-0700-000002000000}" name="1° trim 2025" totalsRowFunction="sum" dataDxfId="110" totalsRowDxfId="109"/>
    <tableColumn id="3" xr3:uid="{00000000-0010-0000-0700-000003000000}" name="2° trim 2025" totalsRowFunction="sum" dataDxfId="108" totalsRowDxfId="107"/>
    <tableColumn id="4" xr3:uid="{00000000-0010-0000-0700-000004000000}" name="3° trim 2025" totalsRowFunction="sum" dataDxfId="106" totalsRowDxfId="105"/>
    <tableColumn id="5" xr3:uid="{00000000-0010-0000-0700-000005000000}" name="4° trim 2025" totalsRowFunction="sum" dataDxfId="104" totalsRowDxfId="103"/>
    <tableColumn id="6" xr3:uid="{00000000-0010-0000-0700-000006000000}" name="Total" totalsRowFunction="sum" dataDxfId="102" totalsRowDxfId="101">
      <calculatedColumnFormula>SUM(Unidades_2025[[#This Row],[1° trim 2025]:[4° trim 2025]])</calculatedColumnFormula>
    </tableColumn>
    <tableColumn id="7" xr3:uid="{00000000-0010-0000-0700-000007000000}" name="Média" totalsRowFunction="sum" dataDxfId="100" totalsRowDxfId="99">
      <calculatedColumnFormula>AVERAGE(Unidades_2025[[#This Row],[1° trim 2025]:[4° trim 2025]])</calculatedColumnFormula>
    </tableColumn>
    <tableColumn id="8" xr3:uid="{00000000-0010-0000-0700-000008000000}" name="% Total" totalsRowFunction="sum" dataDxfId="98" totalsRowDxfId="97" dataCellStyle="Porcentagem">
      <calculatedColumnFormula>(Unidades_2025[[#This Row],[Total]]/Unidades_2025[[#Totals],[Total]])</calculatedColumnFormula>
    </tableColumn>
  </tableColumns>
  <tableStyleInfo name="TableStyleLight13" showFirstColumn="0" showLastColumn="0" showRowStripes="1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Subprefeituras_10mais" displayName="Subprefeituras_10mais" ref="B5:M16" totalsRowCount="1" headerRowDxfId="96" dataDxfId="95" totalsRowDxfId="93" tableBorderDxfId="94">
  <autoFilter ref="B5:M15" xr:uid="{00000000-0009-0000-0100-000008000000}"/>
  <sortState xmlns:xlrd2="http://schemas.microsoft.com/office/spreadsheetml/2017/richdata2" ref="B6:M15">
    <sortCondition descending="1" ref="F5:F15"/>
  </sortState>
  <tableColumns count="12">
    <tableColumn id="1" xr3:uid="{00000000-0010-0000-0800-000001000000}" name="Subprefeituras PMSP*" totalsRowLabel="Total das 10 Subprefeituras + Demandadas" dataDxfId="92" totalsRowDxfId="15"/>
    <tableColumn id="2" xr3:uid="{00000000-0010-0000-0800-000002000000}" name="1° trim 2025" totalsRowFunction="sum" dataDxfId="91" totalsRowDxfId="14"/>
    <tableColumn id="3" xr3:uid="{00000000-0010-0000-0800-000003000000}" name="2° trim 2025" totalsRowFunction="sum" dataDxfId="90" totalsRowDxfId="13"/>
    <tableColumn id="4" xr3:uid="{00000000-0010-0000-0800-000004000000}" name="3° trim 2025" totalsRowFunction="sum" dataDxfId="39" totalsRowDxfId="12"/>
    <tableColumn id="5" xr3:uid="{00000000-0010-0000-0800-000005000000}" name="4° trim 2025" totalsRowFunction="sum" dataDxfId="16" totalsRowDxfId="11"/>
    <tableColumn id="6" xr3:uid="{00000000-0010-0000-0800-000006000000}" name="Total" totalsRowFunction="sum" dataDxfId="38" totalsRowDxfId="10"/>
    <tableColumn id="7" xr3:uid="{00000000-0010-0000-0800-000007000000}" name="Média" totalsRowFunction="sum" dataDxfId="89" totalsRowDxfId="9"/>
    <tableColumn id="8" xr3:uid="{00000000-0010-0000-0800-000008000000}" name="% em relação ao total geral de Sub's. do 4° trim de 2025 (excetuando-se denúncias)" totalsRowFunction="sum" dataDxfId="88" totalsRowDxfId="8">
      <calculatedColumnFormula>(F6*100)/$I$1</calculatedColumnFormula>
    </tableColumn>
    <tableColumn id="9" xr3:uid="{00000000-0010-0000-0800-000009000000}" name="Variação % (T2 vs T1) 2025" dataDxfId="87" totalsRowDxfId="7">
      <calculatedColumnFormula>((Subprefeituras_10mais[[#This Row],[2° trim 2025]]-Subprefeituras_10mais[[#This Row],[1° trim 2025]])/Subprefeituras_10mais[[#This Row],[1° trim 2025]])</calculatedColumnFormula>
    </tableColumn>
    <tableColumn id="10" xr3:uid="{00000000-0010-0000-0800-00000A000000}" name="Variação % (T3 vs T2) 2025" dataDxfId="86" totalsRowDxfId="6">
      <calculatedColumnFormula>((Subprefeituras_10mais[[#This Row],[3° trim 2025]]-Subprefeituras_10mais[[#This Row],[2° trim 2025]])/Subprefeituras_10mais[[#This Row],[2° trim 2025]])</calculatedColumnFormula>
    </tableColumn>
    <tableColumn id="11" xr3:uid="{00000000-0010-0000-0800-00000B000000}" name="Variação % (T4 vs T3) 2025" dataDxfId="85" totalsRowDxfId="5">
      <calculatedColumnFormula>((Subprefeituras_10mais[[#This Row],[4° trim 2025]]-Subprefeituras_10mais[[#This Row],[3° trim 2025]])/Subprefeituras_10mais[[#This Row],[3° trim 2025]])</calculatedColumnFormula>
    </tableColumn>
    <tableColumn id="12" xr3:uid="{00000000-0010-0000-0800-00000C000000}" name="Variação % global em 2025 (T4 vs T1)" dataDxfId="84" totalsRowDxfId="4">
      <calculatedColumnFormula>((Subprefeituras_10mais[[#This Row],[4° trim 2025]]-Subprefeituras_10mais[[#This Row],[1° trim 2025]])/Subprefeituras_10mais[[#This Row],[1° trim 2025]])</calculatedColumnFormula>
    </tableColumn>
  </tableColumns>
  <tableStyleInfo name="TableStyleLight13"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pital.sp.gov.br/web/ouvidoria/w/relatorios_mensais/144782" TargetMode="Externa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pital.sp.gov.br/web/ouvidoria/w/relatorios_mensais/1447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https://capital.sp.gov.br/web/ouvidoria/w/relatorios_mensais/14478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hyperlink" Target="https://capital.sp.gov.br/web/ouvidoria/w/relatorios_mensais/14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2"/>
  <sheetViews>
    <sheetView showGridLines="0" tabSelected="1" zoomScaleNormal="100" workbookViewId="0">
      <selection activeCell="M14" sqref="M14"/>
    </sheetView>
  </sheetViews>
  <sheetFormatPr defaultRowHeight="14.25"/>
  <cols>
    <col min="1" max="1" width="4.140625" style="6" customWidth="1"/>
    <col min="2" max="6" width="20.7109375" style="6" customWidth="1"/>
    <col min="7" max="9" width="12.7109375" style="6" customWidth="1"/>
    <col min="10" max="10" width="4" style="6" customWidth="1"/>
    <col min="11" max="12" width="13.7109375" style="6" customWidth="1"/>
    <col min="13" max="13" width="12.7109375" style="6" customWidth="1"/>
    <col min="14" max="30" width="6.5703125" style="6" customWidth="1"/>
    <col min="31" max="58" width="6.7109375" style="6" customWidth="1"/>
    <col min="59" max="89" width="7.28515625" style="6" customWidth="1"/>
    <col min="90" max="90" width="10.7109375" style="6" customWidth="1"/>
    <col min="91" max="91" width="7.28515625" style="6" customWidth="1"/>
    <col min="92" max="92" width="10.7109375" style="6" bestFit="1" customWidth="1"/>
    <col min="93" max="93" width="9.140625" style="6" customWidth="1"/>
    <col min="94" max="16384" width="9.140625" style="6"/>
  </cols>
  <sheetData>
    <row r="1" spans="2:13" ht="15">
      <c r="B1" s="1" t="s">
        <v>0</v>
      </c>
      <c r="C1" s="1"/>
    </row>
    <row r="2" spans="2:13" ht="15">
      <c r="B2" s="1" t="s">
        <v>1</v>
      </c>
      <c r="C2" s="1"/>
      <c r="L2" s="2" t="s">
        <v>2</v>
      </c>
      <c r="M2" s="3">
        <v>16030</v>
      </c>
    </row>
    <row r="4" spans="2:13" ht="42.75" customHeight="1">
      <c r="B4" s="113" t="s">
        <v>3</v>
      </c>
      <c r="C4" s="113" t="s">
        <v>4</v>
      </c>
      <c r="D4" s="113" t="s">
        <v>5</v>
      </c>
      <c r="E4" s="113" t="s">
        <v>6</v>
      </c>
      <c r="F4" s="113" t="s">
        <v>7</v>
      </c>
      <c r="G4" s="113" t="s">
        <v>8</v>
      </c>
      <c r="H4" s="113" t="s">
        <v>9</v>
      </c>
      <c r="I4" s="113" t="s">
        <v>10</v>
      </c>
      <c r="K4" s="116" t="s">
        <v>11</v>
      </c>
      <c r="L4" s="116" t="s">
        <v>410</v>
      </c>
      <c r="M4" s="116" t="s">
        <v>12</v>
      </c>
    </row>
    <row r="5" spans="2:13">
      <c r="B5" s="114" t="s">
        <v>13</v>
      </c>
      <c r="C5" s="183">
        <v>17947</v>
      </c>
      <c r="D5" s="183">
        <v>15964</v>
      </c>
      <c r="E5" s="183">
        <v>15226</v>
      </c>
      <c r="F5" s="184">
        <v>13664</v>
      </c>
      <c r="G5" s="183">
        <f>SUM(Tipos_de_Manifestação[[#This Row],[1º Trimestre de 2025]:[4º Trimestre de 2025]])</f>
        <v>62801</v>
      </c>
      <c r="H5" s="183">
        <f>AVERAGE(Tipos_de_Manifestação[[#This Row],[1º Trimestre de 2025]:[4º Trimestre de 2025]])</f>
        <v>15700.25</v>
      </c>
      <c r="I5" s="4">
        <f>Tipos_de_Manifestação[[#This Row],[Total]]/Tipos_de_Manifestação[[#Totals],[Total]]*100</f>
        <v>87.22966872699493</v>
      </c>
      <c r="K5" s="5" t="s">
        <v>14</v>
      </c>
      <c r="L5" s="117">
        <v>20233</v>
      </c>
      <c r="M5" s="118">
        <v>26.22</v>
      </c>
    </row>
    <row r="6" spans="2:13">
      <c r="B6" s="6" t="s">
        <v>15</v>
      </c>
      <c r="C6" s="183">
        <v>1054</v>
      </c>
      <c r="D6" s="183">
        <v>1135</v>
      </c>
      <c r="E6" s="183">
        <v>1118</v>
      </c>
      <c r="F6" s="184">
        <v>1133</v>
      </c>
      <c r="G6" s="183">
        <f>SUM(Tipos_de_Manifestação[[#This Row],[1º Trimestre de 2025]:[4º Trimestre de 2025]])</f>
        <v>4440</v>
      </c>
      <c r="H6" s="183">
        <f>AVERAGE(Tipos_de_Manifestação[[#This Row],[1º Trimestre de 2025]:[4º Trimestre de 2025]])</f>
        <v>1110</v>
      </c>
      <c r="I6" s="4">
        <f>Tipos_de_Manifestação[[#This Row],[Total]]/Tipos_de_Manifestação[[#Totals],[Total]]*100</f>
        <v>6.1670949371484127</v>
      </c>
      <c r="K6" s="5" t="s">
        <v>16</v>
      </c>
      <c r="L6" s="117">
        <v>18234</v>
      </c>
      <c r="M6" s="7">
        <f>(L6-L5)*100/L5</f>
        <v>-9.8798991746157263</v>
      </c>
    </row>
    <row r="7" spans="2:13">
      <c r="B7" s="114" t="s">
        <v>17</v>
      </c>
      <c r="C7" s="183">
        <v>738</v>
      </c>
      <c r="D7" s="183">
        <v>732</v>
      </c>
      <c r="E7" s="183">
        <v>803</v>
      </c>
      <c r="F7" s="184">
        <v>750</v>
      </c>
      <c r="G7" s="183">
        <f>SUM(Tipos_de_Manifestação[[#This Row],[1º Trimestre de 2025]:[4º Trimestre de 2025]])</f>
        <v>3023</v>
      </c>
      <c r="H7" s="183">
        <f>AVERAGE(Tipos_de_Manifestação[[#This Row],[1º Trimestre de 2025]:[4º Trimestre de 2025]])</f>
        <v>755.75</v>
      </c>
      <c r="I7" s="4">
        <f>Tipos_de_Manifestação[[#This Row],[Total]]/Tipos_de_Manifestação[[#Totals],[Total]]*100</f>
        <v>4.1989027015764986</v>
      </c>
      <c r="K7" s="5" t="s">
        <v>18</v>
      </c>
      <c r="L7" s="117">
        <v>17552</v>
      </c>
      <c r="M7" s="7">
        <f>(L7-L6)*100/L6</f>
        <v>-3.7402654381923877</v>
      </c>
    </row>
    <row r="8" spans="2:13">
      <c r="B8" s="114" t="s">
        <v>19</v>
      </c>
      <c r="C8" s="183">
        <v>275</v>
      </c>
      <c r="D8" s="183">
        <v>247</v>
      </c>
      <c r="E8" s="183">
        <v>243</v>
      </c>
      <c r="F8" s="184">
        <v>291</v>
      </c>
      <c r="G8" s="183">
        <f>SUM(Tipos_de_Manifestação[[#This Row],[1º Trimestre de 2025]:[4º Trimestre de 2025]])</f>
        <v>1056</v>
      </c>
      <c r="H8" s="183">
        <f>AVERAGE(Tipos_de_Manifestação[[#This Row],[1º Trimestre de 2025]:[4º Trimestre de 2025]])</f>
        <v>264</v>
      </c>
      <c r="I8" s="4">
        <f>Tipos_de_Manifestação[[#This Row],[Total]]/Tipos_de_Manifestação[[#Totals],[Total]]*100</f>
        <v>1.4667685255920551</v>
      </c>
      <c r="K8" s="138" t="s">
        <v>20</v>
      </c>
      <c r="L8" s="139">
        <v>15976</v>
      </c>
      <c r="M8" s="140">
        <f>(L8-L7)*100/L7</f>
        <v>-8.9790337283500463</v>
      </c>
    </row>
    <row r="9" spans="2:13" ht="15">
      <c r="B9" s="114" t="s">
        <v>21</v>
      </c>
      <c r="C9" s="183">
        <v>219</v>
      </c>
      <c r="D9" s="183">
        <v>156</v>
      </c>
      <c r="E9" s="183">
        <v>162</v>
      </c>
      <c r="F9" s="184">
        <v>138</v>
      </c>
      <c r="G9" s="183">
        <f>SUM(Tipos_de_Manifestação[[#This Row],[1º Trimestre de 2025]:[4º Trimestre de 2025]])</f>
        <v>675</v>
      </c>
      <c r="H9" s="183">
        <f>AVERAGE(Tipos_de_Manifestação[[#This Row],[1º Trimestre de 2025]:[4º Trimestre de 2025]])</f>
        <v>168.75</v>
      </c>
      <c r="I9" s="4">
        <f>Tipos_de_Manifestação[[#This Row],[Total]]/Tipos_de_Manifestação[[#Totals],[Total]]*100</f>
        <v>0.93756510868810339</v>
      </c>
      <c r="K9" s="119" t="s">
        <v>8</v>
      </c>
      <c r="L9" s="120">
        <f>SUM(L5:L8)</f>
        <v>71995</v>
      </c>
      <c r="M9" s="120"/>
    </row>
    <row r="10" spans="2:13" ht="29.25">
      <c r="B10" s="115" t="s">
        <v>22</v>
      </c>
      <c r="C10" s="183">
        <v>0</v>
      </c>
      <c r="D10" s="183">
        <v>0</v>
      </c>
      <c r="E10" s="183">
        <v>0</v>
      </c>
      <c r="F10" s="184">
        <v>0</v>
      </c>
      <c r="G10" s="183">
        <f>SUM(Tipos_de_Manifestação[[#This Row],[1º Trimestre de 2025]:[4º Trimestre de 2025]])</f>
        <v>0</v>
      </c>
      <c r="H10" s="183">
        <f>AVERAGE(Tipos_de_Manifestação[[#This Row],[1º Trimestre de 2025]:[4º Trimestre de 2025]])</f>
        <v>0</v>
      </c>
      <c r="I10" s="4">
        <f>Tipos_de_Manifestação[[#This Row],[Total]]/Tipos_de_Manifestação[[#Totals],[Total]]*100</f>
        <v>0</v>
      </c>
      <c r="K10" s="9"/>
      <c r="L10" s="35"/>
      <c r="M10" s="35"/>
    </row>
    <row r="11" spans="2:13">
      <c r="B11" s="121" t="s">
        <v>8</v>
      </c>
      <c r="C11" s="122">
        <f>SUBTOTAL(109,Tipos_de_Manifestação[1º Trimestre de 2025])</f>
        <v>20233</v>
      </c>
      <c r="D11" s="122">
        <f>SUBTOTAL(109,Tipos_de_Manifestação[2º Trimestre de 2025])</f>
        <v>18234</v>
      </c>
      <c r="E11" s="122">
        <f>SUBTOTAL(109,Tipos_de_Manifestação[3º Trimestre de 2025])</f>
        <v>17552</v>
      </c>
      <c r="F11" s="122">
        <f>SUBTOTAL(109,Tipos_de_Manifestação[4º Trimestre de 2025])</f>
        <v>15976</v>
      </c>
      <c r="G11" s="122">
        <f>SUBTOTAL(109,Tipos_de_Manifestação[Total])</f>
        <v>71995</v>
      </c>
      <c r="H11" s="122">
        <f>SUBTOTAL(109,Tipos_de_Manifestação[Média])</f>
        <v>17998.75</v>
      </c>
      <c r="I11" s="123">
        <f>SUBTOTAL(109,Tipos_de_Manifestação[%Total])</f>
        <v>100.00000000000001</v>
      </c>
    </row>
    <row r="12" spans="2:13" ht="15">
      <c r="B12" s="10"/>
      <c r="C12" s="11"/>
      <c r="D12" s="11"/>
      <c r="E12" s="11"/>
      <c r="F12" s="11"/>
      <c r="G12" s="11"/>
      <c r="H12" s="11"/>
      <c r="I12" s="11"/>
      <c r="J12" s="12"/>
      <c r="K12" s="12"/>
    </row>
    <row r="13" spans="2:13" ht="15">
      <c r="B13" s="1"/>
      <c r="C13" s="13"/>
      <c r="D13" s="13"/>
      <c r="E13" s="5"/>
      <c r="F13" s="14"/>
      <c r="G13" s="5"/>
      <c r="H13" s="5"/>
      <c r="I13" s="9"/>
      <c r="J13" s="15"/>
      <c r="K13" s="16"/>
    </row>
    <row r="14" spans="2:13" ht="15">
      <c r="B14" s="1"/>
      <c r="C14" s="13"/>
      <c r="D14" s="13"/>
      <c r="E14" s="5"/>
      <c r="F14" s="14"/>
      <c r="G14" s="5"/>
      <c r="H14" s="5"/>
      <c r="I14" s="9"/>
      <c r="J14" s="15"/>
      <c r="K14" s="16"/>
    </row>
    <row r="15" spans="2:13" ht="19.5" customHeight="1">
      <c r="B15" s="17"/>
      <c r="C15" s="13"/>
      <c r="D15" s="13"/>
      <c r="E15" s="5"/>
      <c r="F15" s="14"/>
      <c r="G15" s="5"/>
      <c r="H15" s="5"/>
      <c r="I15" s="9"/>
      <c r="J15" s="15"/>
      <c r="K15" s="16"/>
    </row>
    <row r="16" spans="2:13" ht="15">
      <c r="B16" s="1"/>
      <c r="C16" s="13"/>
      <c r="D16" s="13"/>
      <c r="E16" s="5"/>
      <c r="F16" s="14"/>
      <c r="G16" s="5"/>
      <c r="H16" s="5"/>
      <c r="I16" s="9"/>
      <c r="J16" s="15"/>
      <c r="K16" s="16"/>
    </row>
    <row r="17" spans="2:11" ht="15">
      <c r="B17" s="1"/>
      <c r="C17" s="13"/>
      <c r="D17" s="13"/>
      <c r="E17" s="5"/>
      <c r="F17" s="14"/>
      <c r="G17" s="5"/>
      <c r="H17" s="5"/>
      <c r="I17" s="9"/>
      <c r="J17" s="15"/>
      <c r="K17" s="16"/>
    </row>
    <row r="18" spans="2:11" ht="15">
      <c r="B18" s="1"/>
      <c r="C18" s="13"/>
      <c r="D18" s="13"/>
      <c r="E18" s="5"/>
      <c r="F18" s="14"/>
      <c r="G18" s="5"/>
      <c r="H18" s="5"/>
      <c r="I18" s="9"/>
      <c r="J18" s="15"/>
      <c r="K18" s="16"/>
    </row>
    <row r="19" spans="2:11" ht="15">
      <c r="B19" s="18"/>
      <c r="C19" s="19"/>
      <c r="D19" s="19"/>
      <c r="E19" s="19"/>
      <c r="F19" s="19"/>
      <c r="G19" s="19"/>
      <c r="H19" s="19"/>
      <c r="I19" s="9"/>
      <c r="J19" s="19"/>
      <c r="K19" s="16"/>
    </row>
    <row r="20" spans="2:11" ht="15">
      <c r="B20" s="18"/>
      <c r="C20" s="19"/>
      <c r="D20" s="19"/>
      <c r="E20" s="19"/>
      <c r="F20" s="19"/>
      <c r="G20" s="19"/>
      <c r="H20" s="19"/>
      <c r="I20" s="9"/>
      <c r="J20" s="19"/>
      <c r="K20" s="16"/>
    </row>
    <row r="21" spans="2:11" ht="15">
      <c r="B21" s="18"/>
      <c r="C21" s="19"/>
      <c r="D21" s="19"/>
      <c r="E21" s="19"/>
      <c r="F21" s="19"/>
      <c r="G21" s="19"/>
      <c r="H21" s="19"/>
      <c r="I21" s="9"/>
      <c r="J21" s="19"/>
      <c r="K21" s="16"/>
    </row>
    <row r="22" spans="2:11" ht="15">
      <c r="B22" s="18"/>
      <c r="C22" s="19"/>
      <c r="D22" s="19"/>
      <c r="E22" s="19"/>
      <c r="F22" s="19"/>
      <c r="G22" s="19"/>
      <c r="H22" s="19"/>
      <c r="I22" s="9"/>
      <c r="J22" s="19"/>
      <c r="K22" s="16"/>
    </row>
    <row r="23" spans="2:11" ht="15">
      <c r="B23" s="18"/>
      <c r="C23" s="19"/>
      <c r="D23" s="19"/>
      <c r="E23" s="19"/>
      <c r="F23" s="19"/>
      <c r="G23" s="19"/>
      <c r="H23" s="19"/>
      <c r="I23" s="9"/>
      <c r="J23" s="19"/>
      <c r="K23" s="16"/>
    </row>
    <row r="24" spans="2:11" ht="15">
      <c r="B24" s="18"/>
      <c r="C24" s="19"/>
      <c r="D24" s="19"/>
      <c r="E24" s="19"/>
      <c r="F24" s="19"/>
      <c r="G24" s="19"/>
      <c r="H24" s="19"/>
      <c r="I24" s="9"/>
      <c r="J24" s="19"/>
      <c r="K24" s="16"/>
    </row>
    <row r="28" spans="2:11">
      <c r="B28" s="196" t="s">
        <v>23</v>
      </c>
      <c r="C28" s="196"/>
      <c r="D28" s="196"/>
      <c r="E28" s="196"/>
      <c r="F28" s="196"/>
      <c r="G28" s="196"/>
      <c r="H28" s="196"/>
      <c r="I28" s="196"/>
      <c r="J28" s="196"/>
    </row>
    <row r="29" spans="2:11">
      <c r="B29" s="196"/>
      <c r="C29" s="196"/>
      <c r="D29" s="196"/>
      <c r="E29" s="196"/>
      <c r="F29" s="196"/>
      <c r="G29" s="196"/>
      <c r="H29" s="196"/>
      <c r="I29" s="196"/>
      <c r="J29" s="196"/>
    </row>
    <row r="30" spans="2:11">
      <c r="B30" s="196"/>
      <c r="C30" s="196"/>
      <c r="D30" s="196"/>
      <c r="E30" s="196"/>
      <c r="F30" s="196"/>
      <c r="G30" s="196"/>
      <c r="H30" s="196"/>
      <c r="I30" s="196"/>
      <c r="J30" s="196"/>
    </row>
    <row r="31" spans="2:11">
      <c r="B31" s="144"/>
      <c r="C31" s="144"/>
      <c r="D31" s="144"/>
      <c r="E31" s="144"/>
      <c r="F31" s="144"/>
      <c r="G31" s="144"/>
      <c r="H31" s="144"/>
      <c r="I31" s="144"/>
      <c r="J31" s="144"/>
    </row>
    <row r="32" spans="2:11">
      <c r="B32" s="145" t="s">
        <v>24</v>
      </c>
      <c r="C32" s="146"/>
      <c r="D32" s="146"/>
      <c r="E32" s="147"/>
      <c r="F32" s="148"/>
      <c r="G32" s="148"/>
      <c r="H32" s="148"/>
      <c r="I32" s="148"/>
      <c r="J32" s="148"/>
    </row>
  </sheetData>
  <mergeCells count="1">
    <mergeCell ref="B28:J30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0"/>
  <sheetViews>
    <sheetView showGridLines="0" zoomScaleNormal="100" workbookViewId="0">
      <selection activeCell="J19" sqref="J19"/>
    </sheetView>
  </sheetViews>
  <sheetFormatPr defaultRowHeight="15"/>
  <cols>
    <col min="1" max="1" width="5.42578125" customWidth="1"/>
    <col min="2" max="2" width="77.42578125" customWidth="1"/>
    <col min="3" max="9" width="10.7109375" customWidth="1"/>
    <col min="10" max="10" width="15" customWidth="1"/>
    <col min="11" max="11" width="14.42578125" customWidth="1"/>
    <col min="12" max="12" width="14.85546875" customWidth="1"/>
    <col min="13" max="13" width="15.7109375" customWidth="1"/>
    <col min="14" max="14" width="11" bestFit="1" customWidth="1"/>
    <col min="15" max="15" width="6.85546875" bestFit="1" customWidth="1"/>
    <col min="16" max="16" width="9.140625" customWidth="1"/>
  </cols>
  <sheetData>
    <row r="1" spans="2:15">
      <c r="B1" s="1" t="s">
        <v>0</v>
      </c>
      <c r="C1" s="1"/>
      <c r="D1" s="1"/>
    </row>
    <row r="2" spans="2:15">
      <c r="B2" s="1" t="s">
        <v>1</v>
      </c>
      <c r="C2" s="1"/>
      <c r="D2" s="1"/>
    </row>
    <row r="4" spans="2:15" ht="63.75" customHeight="1">
      <c r="B4" s="86" t="s">
        <v>25</v>
      </c>
      <c r="C4" s="87" t="s">
        <v>26</v>
      </c>
      <c r="D4" s="88" t="s">
        <v>27</v>
      </c>
      <c r="E4" s="88" t="s">
        <v>28</v>
      </c>
      <c r="F4" s="87" t="s">
        <v>29</v>
      </c>
      <c r="G4" s="89" t="s">
        <v>8</v>
      </c>
      <c r="H4" s="90" t="s">
        <v>9</v>
      </c>
      <c r="I4" s="90" t="s">
        <v>10</v>
      </c>
      <c r="J4" s="60" t="s">
        <v>415</v>
      </c>
      <c r="K4" s="60" t="s">
        <v>416</v>
      </c>
      <c r="L4" s="60" t="s">
        <v>417</v>
      </c>
      <c r="M4" s="60" t="s">
        <v>418</v>
      </c>
    </row>
    <row r="5" spans="2:15">
      <c r="B5" s="18" t="s">
        <v>30</v>
      </c>
      <c r="C5" s="22">
        <v>7877</v>
      </c>
      <c r="D5" s="22">
        <v>7452</v>
      </c>
      <c r="E5" s="22">
        <v>6911</v>
      </c>
      <c r="F5" s="122">
        <v>6618</v>
      </c>
      <c r="G5" s="21">
        <f>SUM(Canais_Atendimento[[#This Row],[1° trim 2025]:[4° trim 2025]])</f>
        <v>28858</v>
      </c>
      <c r="H5" s="22">
        <f>AVERAGE(Canais_Atendimento[[#This Row],[1° trim 2025]:[4° trim 2025]])</f>
        <v>7214.5</v>
      </c>
      <c r="I5" s="179">
        <f>Canais_Atendimento[[#This Row],[Total]]/Canais_Atendimento[[#Totals],[Total]]</f>
        <v>0.40083339120772277</v>
      </c>
      <c r="J5" s="23">
        <f>((Canais_Atendimento[[#This Row],[2° trim 2025]]-Canais_Atendimento[[#This Row],[1° trim 2025]])/Canais_Atendimento[[#This Row],[1° trim 2025]])</f>
        <v>-5.395455122508569E-2</v>
      </c>
      <c r="K5" s="23">
        <f>((Canais_Atendimento[[#This Row],[3° trim 2025]]-Canais_Atendimento[[#This Row],[2° trim 2025]])/Canais_Atendimento[[#This Row],[2° trim 2025]])</f>
        <v>-7.2597960279119703E-2</v>
      </c>
      <c r="L5" s="23">
        <f>((Canais_Atendimento[[#This Row],[4° trim 2025]]-Canais_Atendimento[[#This Row],[3° trim 2025]])/Canais_Atendimento[[#This Row],[3° trim 2025]])</f>
        <v>-4.2396180002893941E-2</v>
      </c>
      <c r="M5" s="23">
        <f>((Canais_Atendimento[[#This Row],[4° trim 2025]]-Canais_Atendimento[[#This Row],[1° trim 2025]])/Canais_Atendimento[[#This Row],[1° trim 2025]])</f>
        <v>-0.15983242351148916</v>
      </c>
    </row>
    <row r="6" spans="2:15">
      <c r="B6" s="18" t="s">
        <v>31</v>
      </c>
      <c r="C6" s="22">
        <v>3927</v>
      </c>
      <c r="D6" s="22">
        <v>4124</v>
      </c>
      <c r="E6" s="22">
        <v>4391</v>
      </c>
      <c r="F6" s="122">
        <v>3188</v>
      </c>
      <c r="G6" s="21">
        <f>SUM(Canais_Atendimento[[#This Row],[1° trim 2025]:[4° trim 2025]])</f>
        <v>15630</v>
      </c>
      <c r="H6" s="22">
        <f>AVERAGE(Canais_Atendimento[[#This Row],[1° trim 2025]:[4° trim 2025]])</f>
        <v>3907.5</v>
      </c>
      <c r="I6" s="179">
        <f>Canais_Atendimento[[#This Row],[Total]]/Canais_Atendimento[[#Totals],[Total]]</f>
        <v>0.21709840961177859</v>
      </c>
      <c r="J6" s="23">
        <f>((Canais_Atendimento[[#This Row],[2° trim 2025]]-Canais_Atendimento[[#This Row],[1° trim 2025]])/Canais_Atendimento[[#This Row],[1° trim 2025]])</f>
        <v>5.0165520753756049E-2</v>
      </c>
      <c r="K6" s="23">
        <f>((Canais_Atendimento[[#This Row],[3° trim 2025]]-Canais_Atendimento[[#This Row],[2° trim 2025]])/Canais_Atendimento[[#This Row],[2° trim 2025]])</f>
        <v>6.4742967992240538E-2</v>
      </c>
      <c r="L6" s="23">
        <f>((Canais_Atendimento[[#This Row],[4° trim 2025]]-Canais_Atendimento[[#This Row],[3° trim 2025]])/Canais_Atendimento[[#This Row],[3° trim 2025]])</f>
        <v>-0.27396948303347757</v>
      </c>
      <c r="M6" s="23">
        <f>((Canais_Atendimento[[#This Row],[4° trim 2025]]-Canais_Atendimento[[#This Row],[1° trim 2025]])/Canais_Atendimento[[#This Row],[1° trim 2025]])</f>
        <v>-0.18818436465495289</v>
      </c>
    </row>
    <row r="7" spans="2:15">
      <c r="B7" s="18" t="s">
        <v>32</v>
      </c>
      <c r="C7" s="22">
        <v>4392</v>
      </c>
      <c r="D7" s="22">
        <v>3198</v>
      </c>
      <c r="E7" s="22">
        <v>3294</v>
      </c>
      <c r="F7" s="122">
        <v>3406</v>
      </c>
      <c r="G7" s="21">
        <f>SUM(Canais_Atendimento[[#This Row],[1° trim 2025]:[4° trim 2025]])</f>
        <v>14290</v>
      </c>
      <c r="H7" s="22">
        <f>AVERAGE(Canais_Atendimento[[#This Row],[1° trim 2025]:[4° trim 2025]])</f>
        <v>3572.5</v>
      </c>
      <c r="I7" s="179">
        <f>Canais_Atendimento[[#This Row],[Total]]/Canais_Atendimento[[#Totals],[Total]]</f>
        <v>0.19848600597263699</v>
      </c>
      <c r="J7" s="23">
        <f>((Canais_Atendimento[[#This Row],[2° trim 2025]]-Canais_Atendimento[[#This Row],[1° trim 2025]])/Canais_Atendimento[[#This Row],[1° trim 2025]])</f>
        <v>-0.27185792349726778</v>
      </c>
      <c r="K7" s="23">
        <f>((Canais_Atendimento[[#This Row],[3° trim 2025]]-Canais_Atendimento[[#This Row],[2° trim 2025]])/Canais_Atendimento[[#This Row],[2° trim 2025]])</f>
        <v>3.0018761726078799E-2</v>
      </c>
      <c r="L7" s="23">
        <f>((Canais_Atendimento[[#This Row],[4° trim 2025]]-Canais_Atendimento[[#This Row],[3° trim 2025]])/Canais_Atendimento[[#This Row],[3° trim 2025]])</f>
        <v>3.4001214329083179E-2</v>
      </c>
      <c r="M7" s="23">
        <f>((Canais_Atendimento[[#This Row],[4° trim 2025]]-Canais_Atendimento[[#This Row],[1° trim 2025]])/Canais_Atendimento[[#This Row],[1° trim 2025]])</f>
        <v>-0.22449908925318762</v>
      </c>
    </row>
    <row r="8" spans="2:15">
      <c r="B8" s="18" t="s">
        <v>33</v>
      </c>
      <c r="C8" s="22">
        <v>1951</v>
      </c>
      <c r="D8" s="22">
        <v>1888</v>
      </c>
      <c r="E8" s="22">
        <v>1522</v>
      </c>
      <c r="F8" s="122">
        <v>1509</v>
      </c>
      <c r="G8" s="21">
        <f>SUM(Canais_Atendimento[[#This Row],[1° trim 2025]:[4° trim 2025]])</f>
        <v>6870</v>
      </c>
      <c r="H8" s="22">
        <f>AVERAGE(Canais_Atendimento[[#This Row],[1° trim 2025]:[4° trim 2025]])</f>
        <v>1717.5</v>
      </c>
      <c r="I8" s="179">
        <f>Canais_Atendimento[[#This Row],[Total]]/Canais_Atendimento[[#Totals],[Total]]</f>
        <v>9.5423293284255847E-2</v>
      </c>
      <c r="J8" s="23">
        <f>((Canais_Atendimento[[#This Row],[2° trim 2025]]-Canais_Atendimento[[#This Row],[1° trim 2025]])/Canais_Atendimento[[#This Row],[1° trim 2025]])</f>
        <v>-3.2291132752434649E-2</v>
      </c>
      <c r="K8" s="23">
        <f>((Canais_Atendimento[[#This Row],[3° trim 2025]]-Canais_Atendimento[[#This Row],[2° trim 2025]])/Canais_Atendimento[[#This Row],[2° trim 2025]])</f>
        <v>-0.19385593220338984</v>
      </c>
      <c r="L8" s="23">
        <f>((Canais_Atendimento[[#This Row],[4° trim 2025]]-Canais_Atendimento[[#This Row],[3° trim 2025]])/Canais_Atendimento[[#This Row],[3° trim 2025]])</f>
        <v>-8.5413929040735869E-3</v>
      </c>
      <c r="M8" s="23">
        <f>((Canais_Atendimento[[#This Row],[4° trim 2025]]-Canais_Atendimento[[#This Row],[1° trim 2025]])/Canais_Atendimento[[#This Row],[1° trim 2025]])</f>
        <v>-0.22655048692977961</v>
      </c>
    </row>
    <row r="9" spans="2:15">
      <c r="B9" s="18" t="s">
        <v>34</v>
      </c>
      <c r="C9" s="22">
        <v>1251</v>
      </c>
      <c r="D9" s="22">
        <v>992</v>
      </c>
      <c r="E9" s="22">
        <v>819</v>
      </c>
      <c r="F9" s="122">
        <v>470</v>
      </c>
      <c r="G9" s="21">
        <f>SUM(Canais_Atendimento[[#This Row],[1° trim 2025]:[4° trim 2025]])</f>
        <v>3532</v>
      </c>
      <c r="H9" s="22">
        <f>AVERAGE(Canais_Atendimento[[#This Row],[1° trim 2025]:[4° trim 2025]])</f>
        <v>883</v>
      </c>
      <c r="I9" s="179">
        <f>Canais_Atendimento[[#This Row],[Total]]/Canais_Atendimento[[#Totals],[Total]]</f>
        <v>4.9058962427946384E-2</v>
      </c>
      <c r="J9" s="23">
        <f>((Canais_Atendimento[[#This Row],[2° trim 2025]]-Canais_Atendimento[[#This Row],[1° trim 2025]])/Canais_Atendimento[[#This Row],[1° trim 2025]])</f>
        <v>-0.20703437250199841</v>
      </c>
      <c r="K9" s="23">
        <f>((Canais_Atendimento[[#This Row],[3° trim 2025]]-Canais_Atendimento[[#This Row],[2° trim 2025]])/Canais_Atendimento[[#This Row],[2° trim 2025]])</f>
        <v>-0.17439516129032259</v>
      </c>
      <c r="L9" s="23">
        <f>((Canais_Atendimento[[#This Row],[4° trim 2025]]-Canais_Atendimento[[#This Row],[3° trim 2025]])/Canais_Atendimento[[#This Row],[3° trim 2025]])</f>
        <v>-0.42612942612942611</v>
      </c>
      <c r="M9" s="23">
        <f>((Canais_Atendimento[[#This Row],[4° trim 2025]]-Canais_Atendimento[[#This Row],[1° trim 2025]])/Canais_Atendimento[[#This Row],[1° trim 2025]])</f>
        <v>-0.62430055955235808</v>
      </c>
    </row>
    <row r="10" spans="2:15">
      <c r="B10" s="18" t="s">
        <v>35</v>
      </c>
      <c r="C10" s="22">
        <v>618</v>
      </c>
      <c r="D10" s="22">
        <v>516</v>
      </c>
      <c r="E10" s="22">
        <v>466</v>
      </c>
      <c r="F10" s="122">
        <v>460</v>
      </c>
      <c r="G10" s="21">
        <f>SUM(Canais_Atendimento[[#This Row],[1° trim 2025]:[4° trim 2025]])</f>
        <v>2060</v>
      </c>
      <c r="H10" s="22">
        <f>AVERAGE(Canais_Atendimento[[#This Row],[1° trim 2025]:[4° trim 2025]])</f>
        <v>515</v>
      </c>
      <c r="I10" s="179">
        <f>Canais_Atendimento[[#This Row],[Total]]/Canais_Atendimento[[#Totals],[Total]]</f>
        <v>2.8613098131814708E-2</v>
      </c>
      <c r="J10" s="23">
        <f>((Canais_Atendimento[[#This Row],[2° trim 2025]]-Canais_Atendimento[[#This Row],[1° trim 2025]])/Canais_Atendimento[[#This Row],[1° trim 2025]])</f>
        <v>-0.1650485436893204</v>
      </c>
      <c r="K10" s="23">
        <f>((Canais_Atendimento[[#This Row],[3° trim 2025]]-Canais_Atendimento[[#This Row],[2° trim 2025]])/Canais_Atendimento[[#This Row],[2° trim 2025]])</f>
        <v>-9.6899224806201556E-2</v>
      </c>
      <c r="L10" s="23">
        <f>((Canais_Atendimento[[#This Row],[4° trim 2025]]-Canais_Atendimento[[#This Row],[3° trim 2025]])/Canais_Atendimento[[#This Row],[3° trim 2025]])</f>
        <v>-1.2875536480686695E-2</v>
      </c>
      <c r="M10" s="23">
        <f>((Canais_Atendimento[[#This Row],[4° trim 2025]]-Canais_Atendimento[[#This Row],[1° trim 2025]])/Canais_Atendimento[[#This Row],[1° trim 2025]])</f>
        <v>-0.25566343042071199</v>
      </c>
    </row>
    <row r="11" spans="2:15">
      <c r="B11" s="1" t="s">
        <v>36</v>
      </c>
      <c r="C11" s="22">
        <v>181</v>
      </c>
      <c r="D11" s="22">
        <v>28</v>
      </c>
      <c r="E11" s="22">
        <v>114</v>
      </c>
      <c r="F11" s="122">
        <v>265</v>
      </c>
      <c r="G11" s="21">
        <f>SUM(Canais_Atendimento[[#This Row],[1° trim 2025]:[4° trim 2025]])</f>
        <v>588</v>
      </c>
      <c r="H11" s="22">
        <f>AVERAGE(Canais_Atendimento[[#This Row],[1° trim 2025]:[4° trim 2025]])</f>
        <v>147</v>
      </c>
      <c r="I11" s="179">
        <f>Canais_Atendimento[[#This Row],[Total]]/Canais_Atendimento[[#Totals],[Total]]</f>
        <v>8.1672338356830344E-3</v>
      </c>
      <c r="J11" s="23">
        <f>((Canais_Atendimento[[#This Row],[2° trim 2025]]-Canais_Atendimento[[#This Row],[1° trim 2025]])/Canais_Atendimento[[#This Row],[1° trim 2025]])</f>
        <v>-0.84530386740331487</v>
      </c>
      <c r="K11" s="23">
        <f>((Canais_Atendimento[[#This Row],[3° trim 2025]]-Canais_Atendimento[[#This Row],[2° trim 2025]])/Canais_Atendimento[[#This Row],[2° trim 2025]])</f>
        <v>3.0714285714285716</v>
      </c>
      <c r="L11" s="23">
        <f>((Canais_Atendimento[[#This Row],[4° trim 2025]]-Canais_Atendimento[[#This Row],[3° trim 2025]])/Canais_Atendimento[[#This Row],[3° trim 2025]])</f>
        <v>1.3245614035087718</v>
      </c>
      <c r="M11" s="23">
        <f>((Canais_Atendimento[[#This Row],[4° trim 2025]]-Canais_Atendimento[[#This Row],[1° trim 2025]])/Canais_Atendimento[[#This Row],[1° trim 2025]])</f>
        <v>0.46408839779005523</v>
      </c>
    </row>
    <row r="12" spans="2:15">
      <c r="B12" s="18" t="s">
        <v>37</v>
      </c>
      <c r="C12" s="22">
        <v>36</v>
      </c>
      <c r="D12" s="22">
        <v>36</v>
      </c>
      <c r="E12" s="22">
        <v>35</v>
      </c>
      <c r="F12" s="122">
        <v>60</v>
      </c>
      <c r="G12" s="21">
        <f>SUM(Canais_Atendimento[[#This Row],[1° trim 2025]:[4° trim 2025]])</f>
        <v>167</v>
      </c>
      <c r="H12" s="22">
        <f>AVERAGE(Canais_Atendimento[[#This Row],[1° trim 2025]:[4° trim 2025]])</f>
        <v>41.75</v>
      </c>
      <c r="I12" s="179">
        <f>Canais_Atendimento[[#This Row],[Total]]/Canais_Atendimento[[#Totals],[Total]]</f>
        <v>2.3196055281616778E-3</v>
      </c>
      <c r="J12" s="23">
        <f>((Canais_Atendimento[[#This Row],[2° trim 2025]]-Canais_Atendimento[[#This Row],[1° trim 2025]])/Canais_Atendimento[[#This Row],[1° trim 2025]])</f>
        <v>0</v>
      </c>
      <c r="K12" s="23">
        <f>((Canais_Atendimento[[#This Row],[3° trim 2025]]-Canais_Atendimento[[#This Row],[2° trim 2025]])/Canais_Atendimento[[#This Row],[2° trim 2025]])</f>
        <v>-2.7777777777777776E-2</v>
      </c>
      <c r="L12" s="23">
        <f>((Canais_Atendimento[[#This Row],[4° trim 2025]]-Canais_Atendimento[[#This Row],[3° trim 2025]])/Canais_Atendimento[[#This Row],[3° trim 2025]])</f>
        <v>0.7142857142857143</v>
      </c>
      <c r="M12" s="23">
        <f>((Canais_Atendimento[[#This Row],[4° trim 2025]]-Canais_Atendimento[[#This Row],[1° trim 2025]])/Canais_Atendimento[[#This Row],[1° trim 2025]])</f>
        <v>0.66666666666666663</v>
      </c>
    </row>
    <row r="13" spans="2:15">
      <c r="B13" s="178" t="s">
        <v>8</v>
      </c>
      <c r="C13" s="181">
        <f>SUBTOTAL(109,Canais_Atendimento[1° trim 2025])</f>
        <v>20233</v>
      </c>
      <c r="D13" s="181">
        <f>SUBTOTAL(109,Canais_Atendimento[2° trim 2025])</f>
        <v>18234</v>
      </c>
      <c r="E13" s="181">
        <f>SUBTOTAL(109,Canais_Atendimento[3° trim 2025])</f>
        <v>17552</v>
      </c>
      <c r="F13" s="181">
        <f>SUBTOTAL(109,Canais_Atendimento[4° trim 2025])</f>
        <v>15976</v>
      </c>
      <c r="G13" s="181">
        <f>SUBTOTAL(109,Canais_Atendimento[Total])</f>
        <v>71995</v>
      </c>
      <c r="H13" s="181">
        <f>SUBTOTAL(109,Canais_Atendimento[Média])</f>
        <v>17998.75</v>
      </c>
      <c r="I13" s="182">
        <f>SUBTOTAL(109,Canais_Atendimento[%Total])</f>
        <v>1</v>
      </c>
      <c r="J13" s="180"/>
      <c r="K13" s="180"/>
      <c r="L13" s="180"/>
      <c r="M13" s="180"/>
      <c r="N13" s="25"/>
      <c r="O13" s="24"/>
    </row>
    <row r="14" spans="2:15" s="149" customFormat="1" ht="18.75" customHeight="1">
      <c r="B14"/>
      <c r="C14"/>
      <c r="D14"/>
      <c r="E14"/>
      <c r="F14"/>
      <c r="G14" s="26"/>
      <c r="H14"/>
      <c r="I14"/>
      <c r="J14"/>
      <c r="K14"/>
      <c r="L14"/>
      <c r="M14" s="24"/>
      <c r="N14" s="151"/>
      <c r="O14" s="150"/>
    </row>
    <row r="15" spans="2:15" ht="76.5">
      <c r="B15" s="152" t="s">
        <v>38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50"/>
      <c r="N15" s="25"/>
      <c r="O15" s="28"/>
    </row>
    <row r="16" spans="2:15">
      <c r="M16" s="27"/>
    </row>
    <row r="17" spans="2:6">
      <c r="B17" s="29"/>
      <c r="C17" s="11"/>
      <c r="D17" s="11"/>
      <c r="E17" s="11"/>
      <c r="F17" s="11"/>
    </row>
    <row r="18" spans="2:6">
      <c r="B18" s="30"/>
      <c r="C18" s="20"/>
      <c r="D18" s="20"/>
      <c r="E18" s="31"/>
      <c r="F18" s="25"/>
    </row>
    <row r="19" spans="2:6">
      <c r="B19" s="32"/>
      <c r="C19" s="20"/>
      <c r="D19" s="20"/>
      <c r="E19" s="31"/>
      <c r="F19" s="25"/>
    </row>
    <row r="20" spans="2:6">
      <c r="B20" s="32"/>
      <c r="C20" s="20"/>
      <c r="D20" s="20"/>
      <c r="E20" s="31"/>
      <c r="F20" s="25"/>
    </row>
    <row r="21" spans="2:6">
      <c r="B21" s="32"/>
      <c r="C21" s="20"/>
      <c r="D21" s="20"/>
      <c r="E21" s="31"/>
      <c r="F21" s="25"/>
    </row>
    <row r="22" spans="2:6">
      <c r="B22" s="32"/>
      <c r="C22" s="20"/>
      <c r="D22" s="20"/>
      <c r="E22" s="31"/>
      <c r="F22" s="25"/>
    </row>
    <row r="23" spans="2:6">
      <c r="B23" s="32"/>
      <c r="C23" s="20"/>
      <c r="D23" s="20"/>
      <c r="E23" s="31"/>
      <c r="F23" s="25"/>
    </row>
    <row r="24" spans="2:6">
      <c r="B24" s="32"/>
      <c r="C24" s="20"/>
      <c r="D24" s="20"/>
      <c r="E24" s="31"/>
      <c r="F24" s="25"/>
    </row>
    <row r="25" spans="2:6">
      <c r="B25" s="32"/>
      <c r="C25" s="20"/>
      <c r="D25" s="20"/>
      <c r="E25" s="31"/>
      <c r="F25" s="25"/>
    </row>
    <row r="26" spans="2:6">
      <c r="B26" s="27"/>
      <c r="C26" s="27"/>
      <c r="D26" s="27"/>
      <c r="E26" s="33"/>
    </row>
    <row r="27" spans="2:6">
      <c r="F27" s="26"/>
    </row>
    <row r="38" spans="2:2">
      <c r="B38" s="34"/>
    </row>
    <row r="40" spans="2:2">
      <c r="B40" s="34"/>
    </row>
  </sheetData>
  <conditionalFormatting sqref="J5:M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O43"/>
  <sheetViews>
    <sheetView showGridLines="0" zoomScaleNormal="100" workbookViewId="0">
      <selection activeCell="P5" sqref="P5"/>
    </sheetView>
  </sheetViews>
  <sheetFormatPr defaultColWidth="5.5703125" defaultRowHeight="20.100000000000001" customHeight="1"/>
  <cols>
    <col min="1" max="1" width="5.5703125" style="35" customWidth="1"/>
    <col min="2" max="2" width="54.5703125" style="35" customWidth="1"/>
    <col min="3" max="3" width="11.42578125" style="35" customWidth="1"/>
    <col min="4" max="4" width="11.7109375" style="13" customWidth="1"/>
    <col min="5" max="5" width="11.7109375" style="35" customWidth="1"/>
    <col min="6" max="6" width="10.28515625" style="38" customWidth="1"/>
    <col min="7" max="7" width="11.28515625" style="35" customWidth="1"/>
    <col min="8" max="8" width="11.42578125" style="38" customWidth="1"/>
    <col min="9" max="9" width="21.85546875" style="35" customWidth="1"/>
    <col min="10" max="11" width="14.85546875" style="35" customWidth="1"/>
    <col min="12" max="12" width="14.5703125" style="35" customWidth="1"/>
    <col min="13" max="13" width="16" style="35" customWidth="1"/>
    <col min="14" max="14" width="7.7109375" style="35" customWidth="1"/>
    <col min="15" max="15" width="7.140625" style="35" bestFit="1" customWidth="1"/>
    <col min="16" max="16" width="9.7109375" style="35" customWidth="1"/>
    <col min="17" max="17" width="17.42578125" style="35" customWidth="1"/>
    <col min="18" max="215" width="9.140625" style="35" customWidth="1"/>
    <col min="216" max="216" width="58.28515625" style="35" customWidth="1"/>
    <col min="217" max="217" width="3.7109375" style="35" bestFit="1" customWidth="1"/>
    <col min="218" max="218" width="5.5703125" style="35" bestFit="1" customWidth="1"/>
    <col min="219" max="219" width="5.5703125" style="35" customWidth="1"/>
    <col min="220" max="16384" width="5.5703125" style="35"/>
  </cols>
  <sheetData>
    <row r="1" spans="2:21" ht="20.100000000000001" customHeight="1">
      <c r="B1" s="36" t="s">
        <v>0</v>
      </c>
      <c r="C1" s="36"/>
      <c r="D1" s="37"/>
      <c r="E1" s="36"/>
      <c r="I1" s="192">
        <f>Assuntos_2025[[#Totals],[4° trim 2025]]</f>
        <v>14843</v>
      </c>
      <c r="J1" s="39"/>
      <c r="S1" s="40"/>
    </row>
    <row r="2" spans="2:21" ht="20.100000000000001" customHeight="1">
      <c r="B2" s="1" t="s">
        <v>1</v>
      </c>
      <c r="C2" s="1"/>
      <c r="D2" s="19"/>
      <c r="E2" s="1"/>
      <c r="I2" s="39"/>
      <c r="J2" s="39"/>
      <c r="S2" s="40"/>
    </row>
    <row r="3" spans="2:21" ht="20.100000000000001" customHeight="1">
      <c r="B3" s="1" t="s">
        <v>39</v>
      </c>
      <c r="C3" s="1"/>
      <c r="D3" s="19"/>
      <c r="E3" s="1"/>
      <c r="I3" s="39"/>
      <c r="J3" s="39"/>
      <c r="S3" s="40"/>
    </row>
    <row r="4" spans="2:21" ht="19.5" customHeight="1">
      <c r="F4" s="35"/>
      <c r="G4" s="38"/>
      <c r="H4" s="35"/>
      <c r="I4" s="41"/>
      <c r="J4" s="39"/>
      <c r="S4" s="40"/>
    </row>
    <row r="5" spans="2:21" ht="62.25" customHeight="1">
      <c r="B5" s="116" t="s">
        <v>40</v>
      </c>
      <c r="C5" s="124" t="s">
        <v>26</v>
      </c>
      <c r="D5" s="124" t="s">
        <v>27</v>
      </c>
      <c r="E5" s="124" t="s">
        <v>28</v>
      </c>
      <c r="F5" s="124" t="s">
        <v>29</v>
      </c>
      <c r="G5" s="125" t="s">
        <v>8</v>
      </c>
      <c r="H5" s="125" t="s">
        <v>9</v>
      </c>
      <c r="I5" s="188" t="s">
        <v>419</v>
      </c>
      <c r="J5" s="124" t="s">
        <v>415</v>
      </c>
      <c r="K5" s="124" t="s">
        <v>416</v>
      </c>
      <c r="L5" s="124" t="s">
        <v>417</v>
      </c>
      <c r="M5" s="124" t="s">
        <v>418</v>
      </c>
      <c r="N5" s="40"/>
      <c r="O5" s="40"/>
      <c r="P5" s="40"/>
      <c r="Q5" s="40"/>
      <c r="R5" s="40"/>
      <c r="S5" s="40"/>
      <c r="T5" s="40"/>
      <c r="U5" s="40"/>
    </row>
    <row r="6" spans="2:21" ht="20.100000000000001" customHeight="1">
      <c r="B6" s="175" t="s">
        <v>41</v>
      </c>
      <c r="C6" s="22">
        <v>372</v>
      </c>
      <c r="D6" s="22">
        <v>433</v>
      </c>
      <c r="E6" s="22">
        <v>1427</v>
      </c>
      <c r="F6" s="201">
        <v>1070</v>
      </c>
      <c r="G6" s="21">
        <f>SUM(C6:F6)</f>
        <v>3302</v>
      </c>
      <c r="H6" s="21">
        <f>AVERAGE(C6:F6)</f>
        <v>825.5</v>
      </c>
      <c r="I6" s="199">
        <f>(F6*100)/$I$1</f>
        <v>7.2087852859933976</v>
      </c>
      <c r="J6" s="137">
        <f>((Assuntos_10mais[[#This Row],[2° trim 2025]]-Assuntos_10mais[[#This Row],[1° trim 2025]])/Assuntos_10mais[[#This Row],[1° trim 2025]])</f>
        <v>0.16397849462365591</v>
      </c>
      <c r="K6" s="137">
        <f>((Assuntos_10mais[[#This Row],[3° trim 2025]]-Assuntos_10mais[[#This Row],[2° trim 2025]])/Assuntos_10mais[[#This Row],[2° trim 2025]])</f>
        <v>2.2956120092378751</v>
      </c>
      <c r="L6" s="137">
        <f>((Assuntos_10mais[[#This Row],[4° trim 2025]]-Assuntos_10mais[[#This Row],[3° trim 2025]])/Assuntos_10mais[[#This Row],[3° trim 2025]])</f>
        <v>-0.25017519271198319</v>
      </c>
      <c r="M6" s="137">
        <f>((Assuntos_10mais[[#This Row],[4° trim 2025]]-Assuntos_10mais[[#This Row],[1° trim 2025]])/Assuntos_10mais[[#This Row],[1° trim 2025]])</f>
        <v>1.8763440860215055</v>
      </c>
      <c r="N6" s="40"/>
      <c r="O6" s="40"/>
      <c r="P6" s="40"/>
      <c r="Q6" s="40"/>
      <c r="R6" s="40"/>
      <c r="S6" s="40"/>
      <c r="T6" s="40"/>
      <c r="U6" s="40"/>
    </row>
    <row r="7" spans="2:21" ht="20.100000000000001" customHeight="1">
      <c r="B7" s="175" t="s">
        <v>42</v>
      </c>
      <c r="C7" s="22">
        <v>811</v>
      </c>
      <c r="D7" s="22">
        <v>977</v>
      </c>
      <c r="E7" s="22">
        <v>926</v>
      </c>
      <c r="F7" s="201">
        <v>937</v>
      </c>
      <c r="G7" s="21">
        <f>SUM(C7:F7)</f>
        <v>3651</v>
      </c>
      <c r="H7" s="21">
        <f>AVERAGE(C7:F7)</f>
        <v>912.75</v>
      </c>
      <c r="I7" s="199">
        <f>(F7*100)/$I$1</f>
        <v>6.3127400121269286</v>
      </c>
      <c r="J7" s="137">
        <f>((Assuntos_10mais[[#This Row],[2° trim 2025]]-Assuntos_10mais[[#This Row],[1° trim 2025]])/Assuntos_10mais[[#This Row],[1° trim 2025]])</f>
        <v>0.20468557336621454</v>
      </c>
      <c r="K7" s="137">
        <f>((Assuntos_10mais[[#This Row],[3° trim 2025]]-Assuntos_10mais[[#This Row],[2° trim 2025]])/Assuntos_10mais[[#This Row],[2° trim 2025]])</f>
        <v>-5.2200614124872056E-2</v>
      </c>
      <c r="L7" s="137">
        <f>((Assuntos_10mais[[#This Row],[4° trim 2025]]-Assuntos_10mais[[#This Row],[3° trim 2025]])/Assuntos_10mais[[#This Row],[3° trim 2025]])</f>
        <v>1.1879049676025918E-2</v>
      </c>
      <c r="M7" s="137">
        <f>((Assuntos_10mais[[#This Row],[4° trim 2025]]-Assuntos_10mais[[#This Row],[1° trim 2025]])/Assuntos_10mais[[#This Row],[1° trim 2025]])</f>
        <v>0.15536374845869297</v>
      </c>
      <c r="N7" s="40"/>
      <c r="O7" s="40"/>
      <c r="P7" s="40"/>
      <c r="Q7" s="40"/>
      <c r="R7" s="40"/>
      <c r="S7" s="40"/>
      <c r="T7" s="40"/>
      <c r="U7" s="40"/>
    </row>
    <row r="8" spans="2:21" ht="20.100000000000001" customHeight="1">
      <c r="B8" s="176" t="s">
        <v>44</v>
      </c>
      <c r="C8" s="22">
        <v>875</v>
      </c>
      <c r="D8" s="22">
        <v>733</v>
      </c>
      <c r="E8" s="22">
        <v>777</v>
      </c>
      <c r="F8" s="201">
        <v>749</v>
      </c>
      <c r="G8" s="21">
        <f>SUM(C8:F8)</f>
        <v>3134</v>
      </c>
      <c r="H8" s="21">
        <f>AVERAGE(C8:F8)</f>
        <v>783.5</v>
      </c>
      <c r="I8" s="199">
        <f>(F8*100)/$I$1</f>
        <v>5.0461497001953779</v>
      </c>
      <c r="J8" s="137">
        <f>((Assuntos_10mais[[#This Row],[2° trim 2025]]-Assuntos_10mais[[#This Row],[1° trim 2025]])/Assuntos_10mais[[#This Row],[1° trim 2025]])</f>
        <v>-0.16228571428571428</v>
      </c>
      <c r="K8" s="137">
        <f>((Assuntos_10mais[[#This Row],[3° trim 2025]]-Assuntos_10mais[[#This Row],[2° trim 2025]])/Assuntos_10mais[[#This Row],[2° trim 2025]])</f>
        <v>6.0027285129604369E-2</v>
      </c>
      <c r="L8" s="137">
        <f>((Assuntos_10mais[[#This Row],[4° trim 2025]]-Assuntos_10mais[[#This Row],[3° trim 2025]])/Assuntos_10mais[[#This Row],[3° trim 2025]])</f>
        <v>-3.6036036036036036E-2</v>
      </c>
      <c r="M8" s="137">
        <f>((Assuntos_10mais[[#This Row],[4° trim 2025]]-Assuntos_10mais[[#This Row],[1° trim 2025]])/Assuntos_10mais[[#This Row],[1° trim 2025]])</f>
        <v>-0.14399999999999999</v>
      </c>
      <c r="N8" s="40"/>
      <c r="O8" s="40"/>
      <c r="P8" s="40"/>
      <c r="Q8" s="40"/>
      <c r="R8" s="40"/>
      <c r="S8" s="40"/>
      <c r="T8" s="40"/>
      <c r="U8" s="40"/>
    </row>
    <row r="9" spans="2:21" ht="20.100000000000001" customHeight="1">
      <c r="B9" s="175" t="s">
        <v>45</v>
      </c>
      <c r="C9" s="22">
        <v>865</v>
      </c>
      <c r="D9" s="22">
        <v>797</v>
      </c>
      <c r="E9" s="22">
        <v>658</v>
      </c>
      <c r="F9" s="201">
        <v>603</v>
      </c>
      <c r="G9" s="21">
        <f>SUM(C9:F9)</f>
        <v>2923</v>
      </c>
      <c r="H9" s="21">
        <f>AVERAGE(C9:F9)</f>
        <v>730.75</v>
      </c>
      <c r="I9" s="199">
        <f>(F9*100)/$I$1</f>
        <v>4.0625210536953444</v>
      </c>
      <c r="J9" s="137">
        <f>((Assuntos_10mais[[#This Row],[2° trim 2025]]-Assuntos_10mais[[#This Row],[1° trim 2025]])/Assuntos_10mais[[#This Row],[1° trim 2025]])</f>
        <v>-7.8612716763005783E-2</v>
      </c>
      <c r="K9" s="137">
        <f>((Assuntos_10mais[[#This Row],[3° trim 2025]]-Assuntos_10mais[[#This Row],[2° trim 2025]])/Assuntos_10mais[[#This Row],[2° trim 2025]])</f>
        <v>-0.17440401505646172</v>
      </c>
      <c r="L9" s="137">
        <f>((Assuntos_10mais[[#This Row],[4° trim 2025]]-Assuntos_10mais[[#This Row],[3° trim 2025]])/Assuntos_10mais[[#This Row],[3° trim 2025]])</f>
        <v>-8.3586626139817627E-2</v>
      </c>
      <c r="M9" s="137">
        <f>((Assuntos_10mais[[#This Row],[4° trim 2025]]-Assuntos_10mais[[#This Row],[1° trim 2025]])/Assuntos_10mais[[#This Row],[1° trim 2025]])</f>
        <v>-0.30289017341040464</v>
      </c>
      <c r="N9" s="40"/>
      <c r="O9" s="40"/>
      <c r="P9" s="40"/>
      <c r="Q9" s="40"/>
      <c r="R9" s="40"/>
      <c r="S9" s="40"/>
      <c r="T9" s="40"/>
      <c r="U9" s="40"/>
    </row>
    <row r="10" spans="2:21" ht="20.100000000000001" customHeight="1">
      <c r="B10" s="176" t="s">
        <v>43</v>
      </c>
      <c r="C10" s="22">
        <v>676</v>
      </c>
      <c r="D10" s="22">
        <v>677</v>
      </c>
      <c r="E10" s="22">
        <v>795</v>
      </c>
      <c r="F10" s="201">
        <v>599</v>
      </c>
      <c r="G10" s="21">
        <f>SUM(C10:F10)</f>
        <v>2747</v>
      </c>
      <c r="H10" s="21">
        <f>AVERAGE(C10:F10)</f>
        <v>686.75</v>
      </c>
      <c r="I10" s="199">
        <f>(F10*100)/$I$1</f>
        <v>4.0355723236542476</v>
      </c>
      <c r="J10" s="137">
        <f>((Assuntos_10mais[[#This Row],[2° trim 2025]]-Assuntos_10mais[[#This Row],[1° trim 2025]])/Assuntos_10mais[[#This Row],[1° trim 2025]])</f>
        <v>1.4792899408284023E-3</v>
      </c>
      <c r="K10" s="137">
        <f>((Assuntos_10mais[[#This Row],[3° trim 2025]]-Assuntos_10mais[[#This Row],[2° trim 2025]])/Assuntos_10mais[[#This Row],[2° trim 2025]])</f>
        <v>0.17429837518463812</v>
      </c>
      <c r="L10" s="137">
        <f>((Assuntos_10mais[[#This Row],[4° trim 2025]]-Assuntos_10mais[[#This Row],[3° trim 2025]])/Assuntos_10mais[[#This Row],[3° trim 2025]])</f>
        <v>-0.24654088050314465</v>
      </c>
      <c r="M10" s="137">
        <f>((Assuntos_10mais[[#This Row],[4° trim 2025]]-Assuntos_10mais[[#This Row],[1° trim 2025]])/Assuntos_10mais[[#This Row],[1° trim 2025]])</f>
        <v>-0.11390532544378698</v>
      </c>
      <c r="N10" s="40"/>
      <c r="O10" s="40"/>
      <c r="P10" s="40"/>
      <c r="Q10" s="40"/>
      <c r="R10" s="40"/>
      <c r="S10" s="40"/>
      <c r="T10" s="40"/>
      <c r="U10" s="40"/>
    </row>
    <row r="11" spans="2:21" ht="20.100000000000001" customHeight="1">
      <c r="B11" s="176" t="s">
        <v>47</v>
      </c>
      <c r="C11" s="22">
        <v>977</v>
      </c>
      <c r="D11" s="22">
        <v>986</v>
      </c>
      <c r="E11" s="22">
        <v>629</v>
      </c>
      <c r="F11" s="201">
        <v>545</v>
      </c>
      <c r="G11" s="21">
        <f>SUM(C11:F11)</f>
        <v>3137</v>
      </c>
      <c r="H11" s="21">
        <f>AVERAGE(C11:F11)</f>
        <v>784.25</v>
      </c>
      <c r="I11" s="199">
        <f>(F11*100)/$I$1</f>
        <v>3.671764468099441</v>
      </c>
      <c r="J11" s="137">
        <f>((Assuntos_10mais[[#This Row],[2° trim 2025]]-Assuntos_10mais[[#This Row],[1° trim 2025]])/Assuntos_10mais[[#This Row],[1° trim 2025]])</f>
        <v>9.2118730808597744E-3</v>
      </c>
      <c r="K11" s="137">
        <f>((Assuntos_10mais[[#This Row],[3° trim 2025]]-Assuntos_10mais[[#This Row],[2° trim 2025]])/Assuntos_10mais[[#This Row],[2° trim 2025]])</f>
        <v>-0.36206896551724138</v>
      </c>
      <c r="L11" s="137">
        <f>((Assuntos_10mais[[#This Row],[4° trim 2025]]-Assuntos_10mais[[#This Row],[3° trim 2025]])/Assuntos_10mais[[#This Row],[3° trim 2025]])</f>
        <v>-0.13354531001589826</v>
      </c>
      <c r="M11" s="137">
        <f>((Assuntos_10mais[[#This Row],[4° trim 2025]]-Assuntos_10mais[[#This Row],[1° trim 2025]])/Assuntos_10mais[[#This Row],[1° trim 2025]])</f>
        <v>-0.4421699078812692</v>
      </c>
      <c r="N11" s="40"/>
      <c r="O11" s="40"/>
      <c r="P11" s="40"/>
      <c r="Q11" s="40"/>
      <c r="R11" s="40"/>
      <c r="S11" s="40"/>
      <c r="T11" s="40"/>
      <c r="U11" s="40"/>
    </row>
    <row r="12" spans="2:21" ht="20.100000000000001" customHeight="1">
      <c r="B12" s="176" t="s">
        <v>50</v>
      </c>
      <c r="C12" s="22">
        <v>818</v>
      </c>
      <c r="D12" s="22">
        <v>438</v>
      </c>
      <c r="E12" s="22">
        <v>349</v>
      </c>
      <c r="F12" s="201">
        <v>511</v>
      </c>
      <c r="G12" s="21">
        <f>SUM(C12:F12)</f>
        <v>2116</v>
      </c>
      <c r="H12" s="21">
        <f>AVERAGE(C12:F12)</f>
        <v>529</v>
      </c>
      <c r="I12" s="199">
        <f>(F12*100)/$I$1</f>
        <v>3.442700262750118</v>
      </c>
      <c r="J12" s="137">
        <f>((Assuntos_10mais[[#This Row],[2° trim 2025]]-Assuntos_10mais[[#This Row],[1° trim 2025]])/Assuntos_10mais[[#This Row],[1° trim 2025]])</f>
        <v>-0.46454767726161367</v>
      </c>
      <c r="K12" s="137">
        <f>((Assuntos_10mais[[#This Row],[3° trim 2025]]-Assuntos_10mais[[#This Row],[2° trim 2025]])/Assuntos_10mais[[#This Row],[2° trim 2025]])</f>
        <v>-0.20319634703196346</v>
      </c>
      <c r="L12" s="137">
        <f>((Assuntos_10mais[[#This Row],[4° trim 2025]]-Assuntos_10mais[[#This Row],[3° trim 2025]])/Assuntos_10mais[[#This Row],[3° trim 2025]])</f>
        <v>0.46418338108882523</v>
      </c>
      <c r="M12" s="137">
        <f>((Assuntos_10mais[[#This Row],[4° trim 2025]]-Assuntos_10mais[[#This Row],[1° trim 2025]])/Assuntos_10mais[[#This Row],[1° trim 2025]])</f>
        <v>-0.37530562347188262</v>
      </c>
      <c r="N12" s="40"/>
      <c r="O12" s="40"/>
      <c r="P12" s="40"/>
      <c r="Q12" s="40"/>
      <c r="R12" s="40"/>
      <c r="S12" s="40"/>
      <c r="T12" s="40"/>
      <c r="U12" s="40"/>
    </row>
    <row r="13" spans="2:21" ht="20.100000000000001" customHeight="1">
      <c r="B13" s="176" t="s">
        <v>48</v>
      </c>
      <c r="C13" s="22">
        <v>1103</v>
      </c>
      <c r="D13" s="22">
        <v>1197</v>
      </c>
      <c r="E13" s="22">
        <v>628</v>
      </c>
      <c r="F13" s="201">
        <v>488</v>
      </c>
      <c r="G13" s="21">
        <f>SUM(C13:F13)</f>
        <v>3416</v>
      </c>
      <c r="H13" s="21">
        <f>AVERAGE(C13:F13)</f>
        <v>854</v>
      </c>
      <c r="I13" s="199">
        <f>(F13*100)/$I$1</f>
        <v>3.2877450650138114</v>
      </c>
      <c r="J13" s="137">
        <f>((Assuntos_10mais[[#This Row],[2° trim 2025]]-Assuntos_10mais[[#This Row],[1° trim 2025]])/Assuntos_10mais[[#This Row],[1° trim 2025]])</f>
        <v>8.5222121486854041E-2</v>
      </c>
      <c r="K13" s="137">
        <f>((Assuntos_10mais[[#This Row],[3° trim 2025]]-Assuntos_10mais[[#This Row],[2° trim 2025]])/Assuntos_10mais[[#This Row],[2° trim 2025]])</f>
        <v>-0.4753550543024227</v>
      </c>
      <c r="L13" s="137">
        <f>((Assuntos_10mais[[#This Row],[4° trim 2025]]-Assuntos_10mais[[#This Row],[3° trim 2025]])/Assuntos_10mais[[#This Row],[3° trim 2025]])</f>
        <v>-0.22292993630573249</v>
      </c>
      <c r="M13" s="137">
        <f>((Assuntos_10mais[[#This Row],[4° trim 2025]]-Assuntos_10mais[[#This Row],[1° trim 2025]])/Assuntos_10mais[[#This Row],[1° trim 2025]])</f>
        <v>-0.557570262919311</v>
      </c>
      <c r="N13" s="40"/>
      <c r="O13" s="40"/>
      <c r="P13" s="40"/>
      <c r="Q13" s="40"/>
      <c r="R13" s="40"/>
      <c r="S13" s="40"/>
      <c r="T13" s="40"/>
      <c r="U13" s="40"/>
    </row>
    <row r="14" spans="2:21" ht="20.100000000000001" customHeight="1">
      <c r="B14" s="176" t="s">
        <v>49</v>
      </c>
      <c r="C14" s="22">
        <v>555</v>
      </c>
      <c r="D14" s="22">
        <v>550</v>
      </c>
      <c r="E14" s="22">
        <v>534</v>
      </c>
      <c r="F14" s="201">
        <v>414</v>
      </c>
      <c r="G14" s="21">
        <f>SUM(C14:F14)</f>
        <v>2053</v>
      </c>
      <c r="H14" s="21">
        <f>AVERAGE(C14:F14)</f>
        <v>513.25</v>
      </c>
      <c r="I14" s="199">
        <f>(F14*100)/$I$1</f>
        <v>2.78919355925352</v>
      </c>
      <c r="J14" s="137">
        <f>((Assuntos_10mais[[#This Row],[2° trim 2025]]-Assuntos_10mais[[#This Row],[1° trim 2025]])/Assuntos_10mais[[#This Row],[1° trim 2025]])</f>
        <v>-9.0090090090090089E-3</v>
      </c>
      <c r="K14" s="137">
        <f>((Assuntos_10mais[[#This Row],[3° trim 2025]]-Assuntos_10mais[[#This Row],[2° trim 2025]])/Assuntos_10mais[[#This Row],[2° trim 2025]])</f>
        <v>-2.9090909090909091E-2</v>
      </c>
      <c r="L14" s="137">
        <f>((Assuntos_10mais[[#This Row],[4° trim 2025]]-Assuntos_10mais[[#This Row],[3° trim 2025]])/Assuntos_10mais[[#This Row],[3° trim 2025]])</f>
        <v>-0.2247191011235955</v>
      </c>
      <c r="M14" s="137">
        <f>((Assuntos_10mais[[#This Row],[4° trim 2025]]-Assuntos_10mais[[#This Row],[1° trim 2025]])/Assuntos_10mais[[#This Row],[1° trim 2025]])</f>
        <v>-0.25405405405405407</v>
      </c>
      <c r="N14" s="40"/>
      <c r="O14" s="40"/>
      <c r="P14" s="40"/>
      <c r="Q14" s="40"/>
      <c r="R14" s="40"/>
      <c r="S14" s="40"/>
      <c r="T14" s="40"/>
      <c r="U14" s="40"/>
    </row>
    <row r="15" spans="2:21" ht="20.100000000000001" customHeight="1">
      <c r="B15" s="176" t="s">
        <v>46</v>
      </c>
      <c r="C15" s="22">
        <v>616</v>
      </c>
      <c r="D15" s="22">
        <v>397</v>
      </c>
      <c r="E15" s="22">
        <v>645</v>
      </c>
      <c r="F15" s="201">
        <v>388</v>
      </c>
      <c r="G15" s="21">
        <f>SUM(C15:F15)</f>
        <v>2046</v>
      </c>
      <c r="H15" s="21">
        <f>AVERAGE(C15:F15)</f>
        <v>511.5</v>
      </c>
      <c r="I15" s="199">
        <f>(F15*100)/$I$1</f>
        <v>2.6140268139863907</v>
      </c>
      <c r="J15" s="137">
        <f>((Assuntos_10mais[[#This Row],[2° trim 2025]]-Assuntos_10mais[[#This Row],[1° trim 2025]])/Assuntos_10mais[[#This Row],[1° trim 2025]])</f>
        <v>-0.35551948051948051</v>
      </c>
      <c r="K15" s="137">
        <f>((Assuntos_10mais[[#This Row],[3° trim 2025]]-Assuntos_10mais[[#This Row],[2° trim 2025]])/Assuntos_10mais[[#This Row],[2° trim 2025]])</f>
        <v>0.62468513853904284</v>
      </c>
      <c r="L15" s="137">
        <f>((Assuntos_10mais[[#This Row],[4° trim 2025]]-Assuntos_10mais[[#This Row],[3° trim 2025]])/Assuntos_10mais[[#This Row],[3° trim 2025]])</f>
        <v>-0.39844961240310078</v>
      </c>
      <c r="M15" s="137">
        <f>((Assuntos_10mais[[#This Row],[4° trim 2025]]-Assuntos_10mais[[#This Row],[1° trim 2025]])/Assuntos_10mais[[#This Row],[1° trim 2025]])</f>
        <v>-0.37012987012987014</v>
      </c>
      <c r="N15" s="40"/>
      <c r="O15" s="40"/>
      <c r="P15" s="40"/>
      <c r="Q15" s="40"/>
      <c r="R15" s="40"/>
      <c r="S15" s="40"/>
      <c r="T15" s="40"/>
      <c r="U15" s="40"/>
    </row>
    <row r="16" spans="2:21" s="39" customFormat="1" ht="20.100000000000001" customHeight="1">
      <c r="B16" s="177" t="s">
        <v>51</v>
      </c>
      <c r="C16" s="163">
        <f>SUBTOTAL(109,Assuntos_10mais[1° trim 2025])</f>
        <v>7668</v>
      </c>
      <c r="D16" s="163">
        <f>SUBTOTAL(109,Assuntos_10mais[2° trim 2025])</f>
        <v>7185</v>
      </c>
      <c r="E16" s="163">
        <f>SUBTOTAL(109,Assuntos_10mais[3° trim 2025])</f>
        <v>7368</v>
      </c>
      <c r="F16" s="163">
        <f>SUBTOTAL(109,Assuntos_10mais[4° trim 2025])</f>
        <v>6304</v>
      </c>
      <c r="G16" s="163">
        <f>SUBTOTAL(109,Assuntos_10mais[Total])</f>
        <v>28525</v>
      </c>
      <c r="H16" s="163">
        <f>SUBTOTAL(109,Assuntos_10mais[Média])</f>
        <v>7131.25</v>
      </c>
      <c r="I16" s="127">
        <f>SUBTOTAL(109,Assuntos_10mais[% em relação ao total geral do 4° trim. 2025 (excetuando-se denúncias)])</f>
        <v>42.471198544768576</v>
      </c>
      <c r="J16" s="126"/>
      <c r="K16" s="126"/>
      <c r="L16" s="126"/>
      <c r="M16" s="126"/>
      <c r="N16" s="40"/>
      <c r="Q16" s="40"/>
      <c r="R16" s="40"/>
      <c r="S16" s="40"/>
      <c r="T16" s="40"/>
      <c r="U16" s="40"/>
    </row>
    <row r="17" spans="2:41" ht="20.100000000000001" customHeight="1">
      <c r="B17" s="91" t="s">
        <v>52</v>
      </c>
      <c r="C17" s="91"/>
      <c r="D17" s="107"/>
      <c r="E17" s="91"/>
      <c r="F17" s="91"/>
      <c r="G17" s="91"/>
      <c r="H17" s="106" t="s">
        <v>53</v>
      </c>
      <c r="I17" s="128">
        <f>100-I16</f>
        <v>57.528801455231424</v>
      </c>
      <c r="J17" s="94"/>
      <c r="K17" s="94"/>
      <c r="L17" s="94"/>
      <c r="M17" s="94"/>
      <c r="N17" s="94"/>
      <c r="O17" s="94"/>
      <c r="P17" s="40"/>
      <c r="Q17" s="40"/>
      <c r="R17" s="40"/>
      <c r="S17" s="40"/>
      <c r="T17" s="40"/>
      <c r="U17" s="40"/>
      <c r="W17" s="38"/>
    </row>
    <row r="18" spans="2:41" ht="18" customHeight="1">
      <c r="B18" s="129"/>
      <c r="C18" s="129"/>
      <c r="D18" s="130"/>
      <c r="E18" s="102"/>
      <c r="F18" s="102"/>
      <c r="G18" s="102"/>
      <c r="H18" s="102"/>
      <c r="I18" s="102"/>
      <c r="J18" s="94"/>
      <c r="K18" s="94"/>
      <c r="L18" s="94"/>
      <c r="M18" s="94"/>
      <c r="N18" s="94"/>
      <c r="O18" s="103"/>
      <c r="W18" s="38"/>
      <c r="AC18" s="43"/>
      <c r="AD18" s="5"/>
      <c r="AE18" s="5"/>
      <c r="AF18" s="5"/>
      <c r="AG18" s="5"/>
      <c r="AH18" s="5"/>
      <c r="AI18" s="5"/>
      <c r="AJ18" s="13"/>
      <c r="AK18" s="5"/>
      <c r="AL18" s="5"/>
      <c r="AM18" s="5"/>
      <c r="AN18" s="5"/>
      <c r="AO18" s="31"/>
    </row>
    <row r="19" spans="2:41" ht="20.100000000000001" customHeight="1">
      <c r="B19" s="104"/>
      <c r="C19" s="105"/>
      <c r="D19" s="189" t="s">
        <v>408</v>
      </c>
      <c r="E19" s="190" t="s">
        <v>409</v>
      </c>
      <c r="F19" s="131"/>
      <c r="G19" s="91"/>
      <c r="H19" s="91"/>
      <c r="I19" s="91"/>
      <c r="J19" s="94"/>
      <c r="K19" s="94"/>
      <c r="L19" s="94"/>
      <c r="M19" s="94"/>
      <c r="N19" s="94"/>
      <c r="O19" s="103"/>
      <c r="W19" s="47"/>
      <c r="AC19" s="43"/>
      <c r="AD19" s="5"/>
      <c r="AE19" s="5"/>
      <c r="AF19" s="5"/>
      <c r="AG19" s="5"/>
      <c r="AH19" s="5"/>
      <c r="AI19" s="5"/>
      <c r="AJ19" s="13"/>
      <c r="AK19" s="5"/>
      <c r="AL19" s="5"/>
      <c r="AM19" s="5"/>
      <c r="AN19" s="5"/>
      <c r="AO19" s="31"/>
    </row>
    <row r="20" spans="2:41" ht="20.100000000000001" customHeight="1">
      <c r="B20" s="93" t="s">
        <v>46</v>
      </c>
      <c r="C20" s="92">
        <v>2.6140268139863907</v>
      </c>
      <c r="D20" s="190" t="s">
        <v>46</v>
      </c>
      <c r="E20" s="191">
        <v>511.5</v>
      </c>
      <c r="F20" s="132"/>
      <c r="G20" s="133"/>
      <c r="H20" s="91"/>
      <c r="I20" s="91"/>
      <c r="J20" s="94"/>
      <c r="K20" s="94"/>
      <c r="L20" s="94"/>
      <c r="M20" s="94"/>
      <c r="N20" s="94"/>
      <c r="O20" s="94"/>
      <c r="S20" s="48"/>
      <c r="W20" s="38"/>
      <c r="AC20" s="43"/>
      <c r="AD20" s="5"/>
      <c r="AE20" s="5"/>
      <c r="AF20" s="5"/>
      <c r="AG20" s="5"/>
      <c r="AH20" s="5"/>
      <c r="AI20" s="5"/>
      <c r="AJ20" s="13"/>
      <c r="AK20" s="5"/>
      <c r="AL20" s="5"/>
      <c r="AM20" s="5"/>
      <c r="AN20" s="5"/>
      <c r="AO20" s="31"/>
    </row>
    <row r="21" spans="2:41" ht="20.100000000000001" customHeight="1">
      <c r="B21" s="91" t="s">
        <v>49</v>
      </c>
      <c r="C21" s="92">
        <v>2.78919355925352</v>
      </c>
      <c r="D21" s="190" t="s">
        <v>49</v>
      </c>
      <c r="E21" s="191">
        <v>513.25</v>
      </c>
      <c r="F21" s="132"/>
      <c r="G21" s="133"/>
      <c r="H21" s="102"/>
      <c r="I21" s="102"/>
      <c r="J21" s="94"/>
      <c r="K21" s="94"/>
      <c r="L21" s="94"/>
      <c r="M21" s="94"/>
      <c r="N21" s="94"/>
      <c r="O21" s="94"/>
      <c r="W21" s="38"/>
      <c r="AC21" s="43"/>
      <c r="AD21" s="5"/>
      <c r="AE21" s="5"/>
      <c r="AF21" s="5"/>
      <c r="AG21" s="5"/>
      <c r="AH21" s="5"/>
      <c r="AI21" s="5"/>
      <c r="AJ21" s="13"/>
      <c r="AK21" s="5"/>
      <c r="AL21" s="5"/>
      <c r="AM21" s="5"/>
      <c r="AN21" s="5"/>
      <c r="AO21" s="31"/>
    </row>
    <row r="22" spans="2:41" ht="20.100000000000001" customHeight="1">
      <c r="B22" s="91" t="s">
        <v>48</v>
      </c>
      <c r="C22" s="92">
        <v>3.2877450650138114</v>
      </c>
      <c r="D22" s="190" t="s">
        <v>50</v>
      </c>
      <c r="E22" s="191">
        <v>529</v>
      </c>
      <c r="F22" s="132"/>
      <c r="G22" s="134"/>
      <c r="H22" s="91"/>
      <c r="I22" s="91"/>
      <c r="J22" s="94"/>
      <c r="K22" s="94"/>
      <c r="L22" s="94"/>
      <c r="M22" s="94"/>
      <c r="N22" s="94"/>
      <c r="O22" s="94"/>
      <c r="W22" s="38"/>
      <c r="AC22" s="43"/>
      <c r="AD22" s="5"/>
      <c r="AE22" s="5"/>
      <c r="AF22" s="5"/>
      <c r="AG22" s="5"/>
      <c r="AH22" s="5"/>
      <c r="AI22" s="5"/>
      <c r="AJ22" s="13"/>
      <c r="AK22" s="5"/>
      <c r="AL22" s="5"/>
      <c r="AM22" s="5"/>
      <c r="AN22" s="5"/>
      <c r="AO22" s="31"/>
    </row>
    <row r="23" spans="2:41" ht="20.100000000000001" customHeight="1">
      <c r="B23" s="91" t="s">
        <v>50</v>
      </c>
      <c r="C23" s="92">
        <v>3.442700262750118</v>
      </c>
      <c r="D23" s="190" t="s">
        <v>43</v>
      </c>
      <c r="E23" s="191">
        <v>686.75</v>
      </c>
      <c r="F23" s="132"/>
      <c r="G23" s="133"/>
      <c r="H23" s="91"/>
      <c r="I23" s="91"/>
      <c r="J23" s="94"/>
      <c r="K23" s="94"/>
      <c r="L23" s="94"/>
      <c r="M23" s="94"/>
      <c r="N23" s="94"/>
      <c r="O23" s="94"/>
      <c r="AC23" s="43"/>
      <c r="AD23" s="5"/>
      <c r="AE23" s="5"/>
      <c r="AF23" s="5"/>
      <c r="AG23" s="5"/>
      <c r="AH23" s="5"/>
      <c r="AI23" s="5"/>
      <c r="AJ23" s="13"/>
      <c r="AK23" s="5"/>
      <c r="AL23" s="5"/>
      <c r="AM23" s="5"/>
      <c r="AN23" s="5"/>
      <c r="AO23" s="31"/>
    </row>
    <row r="24" spans="2:41" ht="20.100000000000001" customHeight="1">
      <c r="B24" s="91" t="s">
        <v>47</v>
      </c>
      <c r="C24" s="92">
        <v>3.671764468099441</v>
      </c>
      <c r="D24" s="190" t="s">
        <v>45</v>
      </c>
      <c r="E24" s="191">
        <v>730.75</v>
      </c>
      <c r="F24" s="132"/>
      <c r="G24" s="133"/>
      <c r="H24" s="131"/>
      <c r="I24" s="91"/>
      <c r="J24" s="94"/>
      <c r="K24" s="94"/>
      <c r="L24" s="94"/>
      <c r="M24" s="94"/>
      <c r="N24" s="94"/>
      <c r="O24" s="94"/>
      <c r="R24" s="43"/>
      <c r="S24" s="5"/>
      <c r="T24" s="31"/>
      <c r="U24" s="31"/>
      <c r="V24" s="31"/>
      <c r="W24" s="7"/>
      <c r="AC24" s="43"/>
      <c r="AD24" s="5"/>
      <c r="AE24" s="5"/>
      <c r="AF24" s="5"/>
      <c r="AG24" s="5"/>
      <c r="AH24" s="5"/>
      <c r="AI24" s="5"/>
      <c r="AJ24" s="13"/>
      <c r="AK24" s="5"/>
      <c r="AL24" s="5"/>
      <c r="AM24" s="5"/>
      <c r="AN24" s="5"/>
      <c r="AO24" s="31"/>
    </row>
    <row r="25" spans="2:41" ht="20.100000000000001" customHeight="1">
      <c r="B25" s="91" t="s">
        <v>43</v>
      </c>
      <c r="C25" s="92">
        <v>4.0355723236542476</v>
      </c>
      <c r="D25" s="190" t="s">
        <v>44</v>
      </c>
      <c r="E25" s="191">
        <v>783.5</v>
      </c>
      <c r="F25" s="132"/>
      <c r="G25" s="133"/>
      <c r="H25" s="135"/>
      <c r="I25" s="135"/>
      <c r="J25" s="94"/>
      <c r="K25" s="94"/>
      <c r="L25" s="94"/>
      <c r="M25" s="94"/>
      <c r="N25" s="94"/>
      <c r="O25" s="94"/>
      <c r="R25" s="43"/>
      <c r="S25" s="5"/>
      <c r="T25" s="31"/>
      <c r="U25" s="31"/>
      <c r="V25" s="31"/>
      <c r="W25" s="7"/>
      <c r="AC25" s="43"/>
      <c r="AD25" s="5"/>
      <c r="AE25" s="5"/>
      <c r="AF25" s="5"/>
      <c r="AG25" s="5"/>
      <c r="AH25" s="5"/>
      <c r="AI25" s="5"/>
      <c r="AJ25" s="13"/>
      <c r="AK25" s="5"/>
      <c r="AL25" s="5"/>
      <c r="AM25" s="5"/>
      <c r="AN25" s="5"/>
      <c r="AO25" s="31"/>
    </row>
    <row r="26" spans="2:41" ht="20.100000000000001" customHeight="1">
      <c r="B26" s="91" t="s">
        <v>45</v>
      </c>
      <c r="C26" s="92">
        <v>4.0625210536953444</v>
      </c>
      <c r="D26" s="190" t="s">
        <v>47</v>
      </c>
      <c r="E26" s="191">
        <v>784.25</v>
      </c>
      <c r="F26" s="132"/>
      <c r="G26" s="133"/>
      <c r="H26" s="131"/>
      <c r="I26" s="91"/>
      <c r="J26" s="94"/>
      <c r="K26" s="94"/>
      <c r="L26" s="94"/>
      <c r="M26" s="94"/>
      <c r="N26" s="94"/>
      <c r="O26" s="94"/>
      <c r="R26" s="43"/>
      <c r="S26" s="5"/>
      <c r="T26" s="31"/>
      <c r="U26" s="31"/>
      <c r="V26" s="31"/>
      <c r="W26" s="7"/>
      <c r="AC26" s="43"/>
      <c r="AD26" s="5"/>
      <c r="AE26" s="5"/>
      <c r="AF26" s="5"/>
      <c r="AG26" s="5"/>
      <c r="AH26" s="5"/>
      <c r="AI26" s="5"/>
      <c r="AJ26" s="13"/>
      <c r="AK26" s="5"/>
      <c r="AL26" s="5"/>
      <c r="AM26" s="5"/>
      <c r="AN26" s="5"/>
      <c r="AO26" s="31"/>
    </row>
    <row r="27" spans="2:41" ht="20.100000000000001" customHeight="1">
      <c r="B27" s="91" t="s">
        <v>44</v>
      </c>
      <c r="C27" s="92">
        <v>5.0461497001953779</v>
      </c>
      <c r="D27" s="190" t="s">
        <v>41</v>
      </c>
      <c r="E27" s="191">
        <v>825.5</v>
      </c>
      <c r="F27" s="132"/>
      <c r="G27" s="133"/>
      <c r="H27" s="131"/>
      <c r="I27" s="91"/>
      <c r="J27" s="94"/>
      <c r="K27" s="94"/>
      <c r="L27" s="94"/>
      <c r="M27" s="94"/>
      <c r="N27" s="94"/>
      <c r="O27" s="94"/>
      <c r="R27" s="43"/>
      <c r="S27" s="5"/>
      <c r="T27" s="31"/>
      <c r="U27" s="31"/>
      <c r="V27" s="31"/>
      <c r="W27" s="7"/>
      <c r="AO27" s="38"/>
    </row>
    <row r="28" spans="2:41" ht="20.100000000000001" customHeight="1">
      <c r="B28" s="93" t="s">
        <v>42</v>
      </c>
      <c r="C28" s="92">
        <v>6.3127400121269286</v>
      </c>
      <c r="D28" s="190" t="s">
        <v>48</v>
      </c>
      <c r="E28" s="191">
        <v>854</v>
      </c>
      <c r="F28" s="132"/>
      <c r="G28" s="136"/>
      <c r="H28" s="131"/>
      <c r="I28" s="91"/>
      <c r="J28" s="94"/>
      <c r="K28" s="94"/>
      <c r="L28" s="94"/>
      <c r="M28" s="94"/>
      <c r="N28" s="94"/>
      <c r="O28" s="94"/>
      <c r="R28" s="43"/>
      <c r="S28" s="5"/>
      <c r="T28" s="31"/>
      <c r="U28" s="31"/>
      <c r="V28" s="31"/>
      <c r="W28" s="7"/>
    </row>
    <row r="29" spans="2:41" ht="20.100000000000001" customHeight="1">
      <c r="B29" s="93" t="s">
        <v>41</v>
      </c>
      <c r="C29" s="92">
        <v>7.2087852859933976</v>
      </c>
      <c r="D29" s="190" t="s">
        <v>42</v>
      </c>
      <c r="E29" s="191">
        <v>912.75</v>
      </c>
      <c r="F29" s="132"/>
      <c r="G29" s="133"/>
      <c r="H29" s="131"/>
      <c r="I29" s="91"/>
      <c r="J29" s="94"/>
      <c r="K29" s="94"/>
      <c r="L29" s="94"/>
      <c r="M29" s="94"/>
      <c r="N29" s="94"/>
      <c r="O29" s="94"/>
      <c r="R29" s="43"/>
      <c r="S29" s="5"/>
      <c r="T29" s="31"/>
      <c r="U29" s="31"/>
      <c r="V29" s="31"/>
      <c r="W29" s="7"/>
    </row>
    <row r="30" spans="2:41" ht="20.100000000000001" customHeight="1">
      <c r="B30" s="40"/>
      <c r="C30" s="40"/>
      <c r="D30" s="40"/>
      <c r="E30" s="40"/>
      <c r="F30" s="42"/>
      <c r="G30" s="40"/>
      <c r="H30" s="42"/>
      <c r="I30" s="40"/>
      <c r="J30" s="94"/>
      <c r="K30" s="94"/>
      <c r="L30" s="94"/>
      <c r="M30" s="94"/>
      <c r="N30" s="94"/>
      <c r="O30" s="94"/>
      <c r="R30" s="43"/>
      <c r="S30" s="5"/>
      <c r="T30" s="31"/>
      <c r="U30" s="31"/>
      <c r="V30" s="31"/>
      <c r="W30" s="7"/>
    </row>
    <row r="31" spans="2:41" ht="20.100000000000001" customHeight="1">
      <c r="B31" s="40"/>
      <c r="C31" s="40"/>
      <c r="D31" s="53"/>
      <c r="E31" s="40"/>
      <c r="F31" s="42"/>
      <c r="G31" s="40"/>
      <c r="H31" s="42"/>
      <c r="I31" s="40"/>
      <c r="J31" s="94"/>
      <c r="K31" s="94"/>
      <c r="L31" s="94"/>
      <c r="M31" s="94"/>
      <c r="N31" s="94"/>
      <c r="O31" s="94"/>
      <c r="R31" s="43"/>
      <c r="S31" s="5"/>
      <c r="T31" s="31"/>
      <c r="U31" s="31"/>
      <c r="V31" s="31"/>
      <c r="W31" s="7"/>
    </row>
    <row r="32" spans="2:41" ht="84" customHeight="1">
      <c r="B32" s="40"/>
      <c r="C32" s="40"/>
      <c r="D32" s="53"/>
      <c r="E32" s="40"/>
      <c r="F32" s="42"/>
      <c r="G32" s="40"/>
      <c r="H32" s="42"/>
      <c r="I32" s="40"/>
      <c r="J32" s="94"/>
      <c r="K32" s="94"/>
      <c r="L32" s="94"/>
      <c r="M32" s="94"/>
      <c r="N32" s="94"/>
      <c r="O32" s="94"/>
      <c r="R32" s="43"/>
      <c r="S32" s="5"/>
      <c r="T32" s="31"/>
      <c r="U32" s="31"/>
      <c r="V32" s="31"/>
      <c r="W32" s="7"/>
    </row>
    <row r="33" spans="2:23" ht="98.25" customHeight="1">
      <c r="B33" s="49" t="s">
        <v>54</v>
      </c>
      <c r="C33" s="50"/>
      <c r="R33" s="43"/>
      <c r="S33" s="5"/>
      <c r="T33" s="31"/>
      <c r="U33" s="31"/>
      <c r="V33" s="31"/>
      <c r="W33" s="7"/>
    </row>
    <row r="34" spans="2:23" ht="20.100000000000001" customHeight="1">
      <c r="B34" s="51" t="s">
        <v>55</v>
      </c>
      <c r="C34" s="52"/>
    </row>
    <row r="39" spans="2:23" ht="20.100000000000001" customHeight="1">
      <c r="J39" s="40"/>
      <c r="K39" s="40"/>
      <c r="L39" s="40"/>
    </row>
    <row r="40" spans="2:23" ht="20.100000000000001" customHeight="1">
      <c r="B40" s="40"/>
      <c r="C40" s="40"/>
      <c r="D40" s="53"/>
      <c r="E40" s="40"/>
      <c r="F40" s="42"/>
      <c r="G40" s="40"/>
      <c r="H40" s="42"/>
      <c r="I40" s="40"/>
      <c r="J40" s="40"/>
      <c r="K40" s="40"/>
      <c r="L40" s="40"/>
    </row>
    <row r="41" spans="2:23" ht="20.100000000000001" customHeight="1">
      <c r="B41" s="54"/>
      <c r="C41" s="54"/>
      <c r="D41" s="55"/>
      <c r="E41" s="54"/>
      <c r="F41" s="42"/>
      <c r="G41" s="40"/>
      <c r="H41" s="42"/>
      <c r="I41" s="40"/>
      <c r="J41" s="40"/>
      <c r="K41" s="40"/>
      <c r="L41" s="40"/>
    </row>
    <row r="42" spans="2:23" ht="20.100000000000001" customHeight="1">
      <c r="B42" s="40"/>
      <c r="C42" s="40"/>
      <c r="D42" s="53"/>
      <c r="E42" s="40"/>
      <c r="F42" s="42"/>
      <c r="G42" s="40"/>
      <c r="H42" s="42"/>
      <c r="I42" s="40"/>
    </row>
    <row r="43" spans="2:23" ht="20.100000000000001" customHeight="1">
      <c r="B43" s="56"/>
      <c r="C43" s="56"/>
      <c r="D43" s="46"/>
      <c r="E43" s="56"/>
    </row>
  </sheetData>
  <sortState xmlns:xlrd2="http://schemas.microsoft.com/office/spreadsheetml/2017/richdata2" ref="B20:C29">
    <sortCondition ref="C20"/>
  </sortState>
  <conditionalFormatting sqref="J6:M1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34" r:id="rId1" xr:uid="{00000000-0004-0000-02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8"/>
  <sheetViews>
    <sheetView workbookViewId="0">
      <selection activeCell="K4" sqref="K4"/>
    </sheetView>
  </sheetViews>
  <sheetFormatPr defaultRowHeight="14.25"/>
  <cols>
    <col min="1" max="1" width="84.7109375" style="35" bestFit="1" customWidth="1"/>
    <col min="2" max="5" width="14.7109375" style="13" customWidth="1"/>
    <col min="6" max="6" width="8.28515625" style="13" customWidth="1"/>
    <col min="7" max="7" width="9.42578125" style="13" customWidth="1"/>
    <col min="8" max="8" width="10.42578125" style="4" customWidth="1"/>
    <col min="9" max="9" width="9.140625" style="35" customWidth="1"/>
    <col min="10" max="16384" width="9.140625" style="35"/>
  </cols>
  <sheetData>
    <row r="1" spans="1:8" ht="15">
      <c r="A1" s="1" t="s">
        <v>0</v>
      </c>
      <c r="B1" s="19"/>
      <c r="C1" s="19"/>
      <c r="D1" s="19"/>
      <c r="E1" s="19"/>
    </row>
    <row r="2" spans="1:8" ht="15">
      <c r="A2" s="1" t="s">
        <v>1</v>
      </c>
      <c r="B2" s="19"/>
      <c r="C2" s="19"/>
      <c r="D2" s="19"/>
      <c r="E2" s="19"/>
    </row>
    <row r="4" spans="1:8" ht="40.5" customHeight="1">
      <c r="A4" s="116" t="s">
        <v>40</v>
      </c>
      <c r="B4" s="125" t="s">
        <v>26</v>
      </c>
      <c r="C4" s="125" t="s">
        <v>27</v>
      </c>
      <c r="D4" s="125" t="s">
        <v>28</v>
      </c>
      <c r="E4" s="125" t="s">
        <v>29</v>
      </c>
      <c r="F4" s="125" t="s">
        <v>8</v>
      </c>
      <c r="G4" s="169" t="s">
        <v>9</v>
      </c>
      <c r="H4" s="170" t="s">
        <v>56</v>
      </c>
    </row>
    <row r="5" spans="1:8" ht="15" customHeight="1">
      <c r="A5" s="43" t="s">
        <v>57</v>
      </c>
      <c r="B5" s="117">
        <v>0</v>
      </c>
      <c r="C5" s="117">
        <v>0</v>
      </c>
      <c r="D5" s="117">
        <v>0</v>
      </c>
      <c r="E5" s="172">
        <v>0</v>
      </c>
      <c r="F5" s="173">
        <f>SUM(Assuntos_2025[[#This Row],[1° trim 2025]:[4° trim 2025]])</f>
        <v>0</v>
      </c>
      <c r="G5" s="21">
        <f>AVERAGE(Assuntos_2025[[#This Row],[1° trim 2025]:[4° trim 2025]])</f>
        <v>0</v>
      </c>
      <c r="H5" s="165">
        <f>(Assuntos_2025[[#This Row],[Total]]/Assuntos_2025[[#Totals],[Total]])</f>
        <v>0</v>
      </c>
    </row>
    <row r="6" spans="1:8" ht="15" customHeight="1">
      <c r="A6" s="171" t="s">
        <v>58</v>
      </c>
      <c r="B6" s="117">
        <v>2</v>
      </c>
      <c r="C6" s="117">
        <v>2</v>
      </c>
      <c r="D6" s="117">
        <v>0</v>
      </c>
      <c r="E6" s="172">
        <v>9</v>
      </c>
      <c r="F6" s="173">
        <f>SUM(Assuntos_2025[[#This Row],[1° trim 2025]:[4° trim 2025]])</f>
        <v>13</v>
      </c>
      <c r="G6" s="21">
        <f>AVERAGE(Assuntos_2025[[#This Row],[1° trim 2025]:[4° trim 2025]])</f>
        <v>3.25</v>
      </c>
      <c r="H6" s="165">
        <f>(Assuntos_2025[[#This Row],[Total]]/Assuntos_2025[[#Totals],[Total]])</f>
        <v>1.9243579305750868E-4</v>
      </c>
    </row>
    <row r="7" spans="1:8" ht="15" customHeight="1">
      <c r="A7" s="171" t="s">
        <v>59</v>
      </c>
      <c r="B7" s="117">
        <v>1</v>
      </c>
      <c r="C7" s="117">
        <v>0</v>
      </c>
      <c r="D7" s="117">
        <v>0</v>
      </c>
      <c r="E7" s="172">
        <v>0</v>
      </c>
      <c r="F7" s="173">
        <f>SUM(Assuntos_2025[[#This Row],[1° trim 2025]:[4° trim 2025]])</f>
        <v>1</v>
      </c>
      <c r="G7" s="21">
        <f>AVERAGE(Assuntos_2025[[#This Row],[1° trim 2025]:[4° trim 2025]])</f>
        <v>0.25</v>
      </c>
      <c r="H7" s="165">
        <f>(Assuntos_2025[[#This Row],[Total]]/Assuntos_2025[[#Totals],[Total]])</f>
        <v>1.4802753312116054E-5</v>
      </c>
    </row>
    <row r="8" spans="1:8" ht="15" customHeight="1">
      <c r="A8" s="171" t="s">
        <v>60</v>
      </c>
      <c r="B8" s="117">
        <v>23</v>
      </c>
      <c r="C8" s="117">
        <v>81</v>
      </c>
      <c r="D8" s="117">
        <v>30</v>
      </c>
      <c r="E8" s="172">
        <v>15</v>
      </c>
      <c r="F8" s="173">
        <f>SUM(Assuntos_2025[[#This Row],[1° trim 2025]:[4° trim 2025]])</f>
        <v>149</v>
      </c>
      <c r="G8" s="21">
        <f>AVERAGE(Assuntos_2025[[#This Row],[1° trim 2025]:[4° trim 2025]])</f>
        <v>37.25</v>
      </c>
      <c r="H8" s="165">
        <f>(Assuntos_2025[[#This Row],[Total]]/Assuntos_2025[[#Totals],[Total]])</f>
        <v>2.2056102435052921E-3</v>
      </c>
    </row>
    <row r="9" spans="1:8" s="57" customFormat="1" ht="15" customHeight="1">
      <c r="A9" s="171" t="s">
        <v>61</v>
      </c>
      <c r="B9" s="117">
        <v>48</v>
      </c>
      <c r="C9" s="117">
        <v>43</v>
      </c>
      <c r="D9" s="117">
        <v>49</v>
      </c>
      <c r="E9" s="172">
        <v>18</v>
      </c>
      <c r="F9" s="173">
        <f>SUM(Assuntos_2025[[#This Row],[1° trim 2025]:[4° trim 2025]])</f>
        <v>158</v>
      </c>
      <c r="G9" s="21">
        <f>AVERAGE(Assuntos_2025[[#This Row],[1° trim 2025]:[4° trim 2025]])</f>
        <v>39.5</v>
      </c>
      <c r="H9" s="165">
        <f>(Assuntos_2025[[#This Row],[Total]]/Assuntos_2025[[#Totals],[Total]])</f>
        <v>2.3388350233143366E-3</v>
      </c>
    </row>
    <row r="10" spans="1:8" s="57" customFormat="1" ht="15" customHeight="1">
      <c r="A10" s="171" t="s">
        <v>62</v>
      </c>
      <c r="B10" s="117">
        <v>1</v>
      </c>
      <c r="C10" s="117">
        <v>0</v>
      </c>
      <c r="D10" s="117">
        <v>0</v>
      </c>
      <c r="E10" s="172">
        <v>0</v>
      </c>
      <c r="F10" s="173">
        <f>SUM(Assuntos_2025[[#This Row],[1° trim 2025]:[4° trim 2025]])</f>
        <v>1</v>
      </c>
      <c r="G10" s="21">
        <f>AVERAGE(Assuntos_2025[[#This Row],[1° trim 2025]:[4° trim 2025]])</f>
        <v>0.25</v>
      </c>
      <c r="H10" s="165">
        <f>(Assuntos_2025[[#This Row],[Total]]/Assuntos_2025[[#Totals],[Total]])</f>
        <v>1.4802753312116054E-5</v>
      </c>
    </row>
    <row r="11" spans="1:8" s="57" customFormat="1" ht="15" customHeight="1">
      <c r="A11" s="43" t="s">
        <v>63</v>
      </c>
      <c r="B11" s="117">
        <v>6</v>
      </c>
      <c r="C11" s="117">
        <v>8</v>
      </c>
      <c r="D11" s="117">
        <v>5</v>
      </c>
      <c r="E11" s="172">
        <v>5</v>
      </c>
      <c r="F11" s="173">
        <f>SUM(Assuntos_2025[[#This Row],[1° trim 2025]:[4° trim 2025]])</f>
        <v>24</v>
      </c>
      <c r="G11" s="21">
        <f>AVERAGE(Assuntos_2025[[#This Row],[1° trim 2025]:[4° trim 2025]])</f>
        <v>6</v>
      </c>
      <c r="H11" s="165">
        <f>(Assuntos_2025[[#This Row],[Total]]/Assuntos_2025[[#Totals],[Total]])</f>
        <v>3.5526607949078529E-4</v>
      </c>
    </row>
    <row r="12" spans="1:8" s="57" customFormat="1" ht="15" customHeight="1">
      <c r="A12" s="171" t="s">
        <v>64</v>
      </c>
      <c r="B12" s="117">
        <v>2</v>
      </c>
      <c r="C12" s="117">
        <v>1</v>
      </c>
      <c r="D12" s="117">
        <v>1</v>
      </c>
      <c r="E12" s="172">
        <v>1</v>
      </c>
      <c r="F12" s="173">
        <f>SUM(Assuntos_2025[[#This Row],[1° trim 2025]:[4° trim 2025]])</f>
        <v>5</v>
      </c>
      <c r="G12" s="21">
        <f>AVERAGE(Assuntos_2025[[#This Row],[1° trim 2025]:[4° trim 2025]])</f>
        <v>1.25</v>
      </c>
      <c r="H12" s="165">
        <f>(Assuntos_2025[[#This Row],[Total]]/Assuntos_2025[[#Totals],[Total]])</f>
        <v>7.4013766560580268E-5</v>
      </c>
    </row>
    <row r="13" spans="1:8" s="57" customFormat="1" ht="15" customHeight="1">
      <c r="A13" s="171" t="s">
        <v>65</v>
      </c>
      <c r="B13" s="117">
        <v>6</v>
      </c>
      <c r="C13" s="117">
        <v>1</v>
      </c>
      <c r="D13" s="117">
        <v>2</v>
      </c>
      <c r="E13" s="172">
        <v>1</v>
      </c>
      <c r="F13" s="173">
        <f>SUM(Assuntos_2025[[#This Row],[1° trim 2025]:[4° trim 2025]])</f>
        <v>10</v>
      </c>
      <c r="G13" s="21">
        <f>AVERAGE(Assuntos_2025[[#This Row],[1° trim 2025]:[4° trim 2025]])</f>
        <v>2.5</v>
      </c>
      <c r="H13" s="165">
        <f>(Assuntos_2025[[#This Row],[Total]]/Assuntos_2025[[#Totals],[Total]])</f>
        <v>1.4802753312116054E-4</v>
      </c>
    </row>
    <row r="14" spans="1:8" s="57" customFormat="1" ht="15" customHeight="1">
      <c r="A14" s="171" t="s">
        <v>66</v>
      </c>
      <c r="B14" s="117">
        <v>5</v>
      </c>
      <c r="C14" s="117">
        <v>4</v>
      </c>
      <c r="D14" s="117">
        <v>10</v>
      </c>
      <c r="E14" s="172">
        <v>6</v>
      </c>
      <c r="F14" s="173">
        <f>SUM(Assuntos_2025[[#This Row],[1° trim 2025]:[4° trim 2025]])</f>
        <v>25</v>
      </c>
      <c r="G14" s="21">
        <f>AVERAGE(Assuntos_2025[[#This Row],[1° trim 2025]:[4° trim 2025]])</f>
        <v>6.25</v>
      </c>
      <c r="H14" s="165">
        <f>(Assuntos_2025[[#This Row],[Total]]/Assuntos_2025[[#Totals],[Total]])</f>
        <v>3.7006883280290133E-4</v>
      </c>
    </row>
    <row r="15" spans="1:8" s="57" customFormat="1" ht="15" customHeight="1">
      <c r="A15" s="171" t="s">
        <v>67</v>
      </c>
      <c r="B15" s="117">
        <v>2</v>
      </c>
      <c r="C15" s="117">
        <v>5</v>
      </c>
      <c r="D15" s="117">
        <v>1</v>
      </c>
      <c r="E15" s="172">
        <v>0</v>
      </c>
      <c r="F15" s="173">
        <f>SUM(Assuntos_2025[[#This Row],[1° trim 2025]:[4° trim 2025]])</f>
        <v>8</v>
      </c>
      <c r="G15" s="21">
        <f>AVERAGE(Assuntos_2025[[#This Row],[1° trim 2025]:[4° trim 2025]])</f>
        <v>2</v>
      </c>
      <c r="H15" s="165">
        <f>(Assuntos_2025[[#This Row],[Total]]/Assuntos_2025[[#Totals],[Total]])</f>
        <v>1.1842202649692843E-4</v>
      </c>
    </row>
    <row r="16" spans="1:8" s="57" customFormat="1" ht="15" customHeight="1">
      <c r="A16" s="43" t="s">
        <v>68</v>
      </c>
      <c r="B16" s="117">
        <v>48</v>
      </c>
      <c r="C16" s="117">
        <v>43</v>
      </c>
      <c r="D16" s="117">
        <v>53</v>
      </c>
      <c r="E16" s="172">
        <v>47</v>
      </c>
      <c r="F16" s="173">
        <f>SUM(Assuntos_2025[[#This Row],[1° trim 2025]:[4° trim 2025]])</f>
        <v>191</v>
      </c>
      <c r="G16" s="21">
        <f>AVERAGE(Assuntos_2025[[#This Row],[1° trim 2025]:[4° trim 2025]])</f>
        <v>47.75</v>
      </c>
      <c r="H16" s="165">
        <f>(Assuntos_2025[[#This Row],[Total]]/Assuntos_2025[[#Totals],[Total]])</f>
        <v>2.8273258826141661E-3</v>
      </c>
    </row>
    <row r="17" spans="1:8" s="57" customFormat="1" ht="15" customHeight="1">
      <c r="A17" s="35" t="s">
        <v>69</v>
      </c>
      <c r="B17" s="117">
        <v>74</v>
      </c>
      <c r="C17" s="117">
        <v>54</v>
      </c>
      <c r="D17" s="117">
        <v>50</v>
      </c>
      <c r="E17" s="172">
        <v>38</v>
      </c>
      <c r="F17" s="173">
        <f>SUM(Assuntos_2025[[#This Row],[1° trim 2025]:[4° trim 2025]])</f>
        <v>216</v>
      </c>
      <c r="G17" s="21">
        <f>AVERAGE(Assuntos_2025[[#This Row],[1° trim 2025]:[4° trim 2025]])</f>
        <v>54</v>
      </c>
      <c r="H17" s="165">
        <f>(Assuntos_2025[[#This Row],[Total]]/Assuntos_2025[[#Totals],[Total]])</f>
        <v>3.1973947154170677E-3</v>
      </c>
    </row>
    <row r="18" spans="1:8" s="57" customFormat="1" ht="15" customHeight="1">
      <c r="A18" s="35" t="s">
        <v>70</v>
      </c>
      <c r="B18" s="117">
        <v>2</v>
      </c>
      <c r="C18" s="117">
        <v>3</v>
      </c>
      <c r="D18" s="117">
        <v>2</v>
      </c>
      <c r="E18" s="172">
        <v>1</v>
      </c>
      <c r="F18" s="173">
        <f>SUM(Assuntos_2025[[#This Row],[1° trim 2025]:[4° trim 2025]])</f>
        <v>8</v>
      </c>
      <c r="G18" s="21">
        <f>AVERAGE(Assuntos_2025[[#This Row],[1° trim 2025]:[4° trim 2025]])</f>
        <v>2</v>
      </c>
      <c r="H18" s="165">
        <f>(Assuntos_2025[[#This Row],[Total]]/Assuntos_2025[[#Totals],[Total]])</f>
        <v>1.1842202649692843E-4</v>
      </c>
    </row>
    <row r="19" spans="1:8" ht="15" customHeight="1">
      <c r="A19" s="35" t="s">
        <v>71</v>
      </c>
      <c r="B19" s="117">
        <v>15</v>
      </c>
      <c r="C19" s="117">
        <v>10</v>
      </c>
      <c r="D19" s="117">
        <v>16</v>
      </c>
      <c r="E19" s="172">
        <v>11</v>
      </c>
      <c r="F19" s="173">
        <f>SUM(Assuntos_2025[[#This Row],[1° trim 2025]:[4° trim 2025]])</f>
        <v>52</v>
      </c>
      <c r="G19" s="21">
        <f>AVERAGE(Assuntos_2025[[#This Row],[1° trim 2025]:[4° trim 2025]])</f>
        <v>13</v>
      </c>
      <c r="H19" s="165">
        <f>(Assuntos_2025[[#This Row],[Total]]/Assuntos_2025[[#Totals],[Total]])</f>
        <v>7.6974317223003474E-4</v>
      </c>
    </row>
    <row r="20" spans="1:8" ht="15" customHeight="1">
      <c r="A20" s="35" t="s">
        <v>72</v>
      </c>
      <c r="B20" s="117">
        <v>20</v>
      </c>
      <c r="C20" s="117">
        <v>11</v>
      </c>
      <c r="D20" s="117">
        <v>21</v>
      </c>
      <c r="E20" s="172">
        <v>13</v>
      </c>
      <c r="F20" s="173">
        <f>SUM(Assuntos_2025[[#This Row],[1° trim 2025]:[4° trim 2025]])</f>
        <v>65</v>
      </c>
      <c r="G20" s="21">
        <f>AVERAGE(Assuntos_2025[[#This Row],[1° trim 2025]:[4° trim 2025]])</f>
        <v>16.25</v>
      </c>
      <c r="H20" s="165">
        <f>(Assuntos_2025[[#This Row],[Total]]/Assuntos_2025[[#Totals],[Total]])</f>
        <v>9.6217896528754353E-4</v>
      </c>
    </row>
    <row r="21" spans="1:8" ht="15" customHeight="1">
      <c r="A21" s="35" t="s">
        <v>73</v>
      </c>
      <c r="B21" s="117">
        <v>11</v>
      </c>
      <c r="C21" s="117">
        <v>39</v>
      </c>
      <c r="D21" s="117">
        <v>16</v>
      </c>
      <c r="E21" s="172">
        <v>7</v>
      </c>
      <c r="F21" s="173">
        <f>SUM(Assuntos_2025[[#This Row],[1° trim 2025]:[4° trim 2025]])</f>
        <v>73</v>
      </c>
      <c r="G21" s="21">
        <f>AVERAGE(Assuntos_2025[[#This Row],[1° trim 2025]:[4° trim 2025]])</f>
        <v>18.25</v>
      </c>
      <c r="H21" s="165">
        <f>(Assuntos_2025[[#This Row],[Total]]/Assuntos_2025[[#Totals],[Total]])</f>
        <v>1.080600991784472E-3</v>
      </c>
    </row>
    <row r="22" spans="1:8" ht="15" customHeight="1">
      <c r="A22" s="35" t="s">
        <v>74</v>
      </c>
      <c r="B22" s="117">
        <v>1</v>
      </c>
      <c r="C22" s="117">
        <v>1</v>
      </c>
      <c r="D22" s="117">
        <v>0</v>
      </c>
      <c r="E22" s="172">
        <v>0</v>
      </c>
      <c r="F22" s="173">
        <f>SUM(Assuntos_2025[[#This Row],[1° trim 2025]:[4° trim 2025]])</f>
        <v>2</v>
      </c>
      <c r="G22" s="21">
        <f>AVERAGE(Assuntos_2025[[#This Row],[1° trim 2025]:[4° trim 2025]])</f>
        <v>0.5</v>
      </c>
      <c r="H22" s="165">
        <f>(Assuntos_2025[[#This Row],[Total]]/Assuntos_2025[[#Totals],[Total]])</f>
        <v>2.9605506624232107E-5</v>
      </c>
    </row>
    <row r="23" spans="1:8" ht="15" customHeight="1">
      <c r="A23" s="35" t="s">
        <v>75</v>
      </c>
      <c r="B23" s="117">
        <v>0</v>
      </c>
      <c r="C23" s="117">
        <v>1</v>
      </c>
      <c r="D23" s="117">
        <v>1</v>
      </c>
      <c r="E23" s="172">
        <v>0</v>
      </c>
      <c r="F23" s="173">
        <f>SUM(Assuntos_2025[[#This Row],[1° trim 2025]:[4° trim 2025]])</f>
        <v>2</v>
      </c>
      <c r="G23" s="21">
        <f>AVERAGE(Assuntos_2025[[#This Row],[1° trim 2025]:[4° trim 2025]])</f>
        <v>0.5</v>
      </c>
      <c r="H23" s="165">
        <f>(Assuntos_2025[[#This Row],[Total]]/Assuntos_2025[[#Totals],[Total]])</f>
        <v>2.9605506624232107E-5</v>
      </c>
    </row>
    <row r="24" spans="1:8" ht="15" customHeight="1">
      <c r="A24" s="35" t="s">
        <v>76</v>
      </c>
      <c r="B24" s="117">
        <v>0</v>
      </c>
      <c r="C24" s="117">
        <v>0</v>
      </c>
      <c r="D24" s="117">
        <v>0</v>
      </c>
      <c r="E24" s="172">
        <v>1</v>
      </c>
      <c r="F24" s="173">
        <f>SUM(Assuntos_2025[[#This Row],[1° trim 2025]:[4° trim 2025]])</f>
        <v>1</v>
      </c>
      <c r="G24" s="21">
        <f>AVERAGE(Assuntos_2025[[#This Row],[1° trim 2025]:[4° trim 2025]])</f>
        <v>0.25</v>
      </c>
      <c r="H24" s="165">
        <f>(Assuntos_2025[[#This Row],[Total]]/Assuntos_2025[[#Totals],[Total]])</f>
        <v>1.4802753312116054E-5</v>
      </c>
    </row>
    <row r="25" spans="1:8" ht="15" customHeight="1">
      <c r="A25" s="35" t="s">
        <v>77</v>
      </c>
      <c r="B25" s="117">
        <v>48</v>
      </c>
      <c r="C25" s="117">
        <v>38</v>
      </c>
      <c r="D25" s="117">
        <v>51</v>
      </c>
      <c r="E25" s="172">
        <v>50</v>
      </c>
      <c r="F25" s="173">
        <f>SUM(Assuntos_2025[[#This Row],[1° trim 2025]:[4° trim 2025]])</f>
        <v>187</v>
      </c>
      <c r="G25" s="21">
        <f>AVERAGE(Assuntos_2025[[#This Row],[1° trim 2025]:[4° trim 2025]])</f>
        <v>46.75</v>
      </c>
      <c r="H25" s="165">
        <f>(Assuntos_2025[[#This Row],[Total]]/Assuntos_2025[[#Totals],[Total]])</f>
        <v>2.7681148693657022E-3</v>
      </c>
    </row>
    <row r="26" spans="1:8" ht="15" customHeight="1">
      <c r="A26" s="35" t="s">
        <v>78</v>
      </c>
      <c r="B26" s="117">
        <v>1</v>
      </c>
      <c r="C26" s="117">
        <v>0</v>
      </c>
      <c r="D26" s="117">
        <v>1</v>
      </c>
      <c r="E26" s="172">
        <v>0</v>
      </c>
      <c r="F26" s="173">
        <f>SUM(Assuntos_2025[[#This Row],[1° trim 2025]:[4° trim 2025]])</f>
        <v>2</v>
      </c>
      <c r="G26" s="21">
        <f>AVERAGE(Assuntos_2025[[#This Row],[1° trim 2025]:[4° trim 2025]])</f>
        <v>0.5</v>
      </c>
      <c r="H26" s="165">
        <f>(Assuntos_2025[[#This Row],[Total]]/Assuntos_2025[[#Totals],[Total]])</f>
        <v>2.9605506624232107E-5</v>
      </c>
    </row>
    <row r="27" spans="1:8" ht="15" customHeight="1">
      <c r="A27" s="35" t="s">
        <v>79</v>
      </c>
      <c r="B27" s="117">
        <v>0</v>
      </c>
      <c r="C27" s="117">
        <v>0</v>
      </c>
      <c r="D27" s="117">
        <v>1</v>
      </c>
      <c r="E27" s="172">
        <v>0</v>
      </c>
      <c r="F27" s="173">
        <f>SUM(Assuntos_2025[[#This Row],[1° trim 2025]:[4° trim 2025]])</f>
        <v>1</v>
      </c>
      <c r="G27" s="21">
        <f>AVERAGE(Assuntos_2025[[#This Row],[1° trim 2025]:[4° trim 2025]])</f>
        <v>0.25</v>
      </c>
      <c r="H27" s="165">
        <f>(Assuntos_2025[[#This Row],[Total]]/Assuntos_2025[[#Totals],[Total]])</f>
        <v>1.4802753312116054E-5</v>
      </c>
    </row>
    <row r="28" spans="1:8" ht="15" customHeight="1">
      <c r="A28" s="35" t="s">
        <v>44</v>
      </c>
      <c r="B28" s="117">
        <v>875</v>
      </c>
      <c r="C28" s="117">
        <v>733</v>
      </c>
      <c r="D28" s="117">
        <v>777</v>
      </c>
      <c r="E28" s="172">
        <v>749</v>
      </c>
      <c r="F28" s="173">
        <f>SUM(Assuntos_2025[[#This Row],[1° trim 2025]:[4° trim 2025]])</f>
        <v>3134</v>
      </c>
      <c r="G28" s="21">
        <f>AVERAGE(Assuntos_2025[[#This Row],[1° trim 2025]:[4° trim 2025]])</f>
        <v>783.5</v>
      </c>
      <c r="H28" s="165">
        <f>(Assuntos_2025[[#This Row],[Total]]/Assuntos_2025[[#Totals],[Total]])</f>
        <v>4.6391828880171709E-2</v>
      </c>
    </row>
    <row r="29" spans="1:8" ht="15" customHeight="1">
      <c r="A29" s="35" t="s">
        <v>80</v>
      </c>
      <c r="B29" s="117">
        <v>0</v>
      </c>
      <c r="C29" s="117">
        <v>0</v>
      </c>
      <c r="D29" s="117">
        <v>1</v>
      </c>
      <c r="E29" s="172">
        <v>0</v>
      </c>
      <c r="F29" s="173">
        <f>SUM(Assuntos_2025[[#This Row],[1° trim 2025]:[4° trim 2025]])</f>
        <v>1</v>
      </c>
      <c r="G29" s="21">
        <f>AVERAGE(Assuntos_2025[[#This Row],[1° trim 2025]:[4° trim 2025]])</f>
        <v>0.25</v>
      </c>
      <c r="H29" s="165">
        <f>(Assuntos_2025[[#This Row],[Total]]/Assuntos_2025[[#Totals],[Total]])</f>
        <v>1.4802753312116054E-5</v>
      </c>
    </row>
    <row r="30" spans="1:8" ht="15" customHeight="1">
      <c r="A30" s="35" t="s">
        <v>81</v>
      </c>
      <c r="B30" s="117">
        <v>0</v>
      </c>
      <c r="C30" s="117">
        <v>0</v>
      </c>
      <c r="D30" s="117">
        <v>0</v>
      </c>
      <c r="E30" s="172">
        <v>0</v>
      </c>
      <c r="F30" s="173">
        <f>SUM(Assuntos_2025[[#This Row],[1° trim 2025]:[4° trim 2025]])</f>
        <v>0</v>
      </c>
      <c r="G30" s="21">
        <f>AVERAGE(Assuntos_2025[[#This Row],[1° trim 2025]:[4° trim 2025]])</f>
        <v>0</v>
      </c>
      <c r="H30" s="165">
        <f>(Assuntos_2025[[#This Row],[Total]]/Assuntos_2025[[#Totals],[Total]])</f>
        <v>0</v>
      </c>
    </row>
    <row r="31" spans="1:8" ht="15" customHeight="1">
      <c r="A31" s="35" t="s">
        <v>82</v>
      </c>
      <c r="B31" s="117">
        <v>60</v>
      </c>
      <c r="C31" s="117">
        <v>46</v>
      </c>
      <c r="D31" s="117">
        <v>86</v>
      </c>
      <c r="E31" s="172">
        <v>133</v>
      </c>
      <c r="F31" s="173">
        <f>SUM(Assuntos_2025[[#This Row],[1° trim 2025]:[4° trim 2025]])</f>
        <v>325</v>
      </c>
      <c r="G31" s="21">
        <f>AVERAGE(Assuntos_2025[[#This Row],[1° trim 2025]:[4° trim 2025]])</f>
        <v>81.25</v>
      </c>
      <c r="H31" s="165">
        <f>(Assuntos_2025[[#This Row],[Total]]/Assuntos_2025[[#Totals],[Total]])</f>
        <v>4.8108948264377173E-3</v>
      </c>
    </row>
    <row r="32" spans="1:8" ht="15" customHeight="1">
      <c r="A32" s="35" t="s">
        <v>83</v>
      </c>
      <c r="B32" s="117">
        <v>0</v>
      </c>
      <c r="C32" s="117">
        <v>1</v>
      </c>
      <c r="D32" s="117">
        <v>0</v>
      </c>
      <c r="E32" s="172">
        <v>0</v>
      </c>
      <c r="F32" s="173">
        <f>SUM(Assuntos_2025[[#This Row],[1° trim 2025]:[4° trim 2025]])</f>
        <v>1</v>
      </c>
      <c r="G32" s="21">
        <f>AVERAGE(Assuntos_2025[[#This Row],[1° trim 2025]:[4° trim 2025]])</f>
        <v>0.25</v>
      </c>
      <c r="H32" s="165">
        <f>(Assuntos_2025[[#This Row],[Total]]/Assuntos_2025[[#Totals],[Total]])</f>
        <v>1.4802753312116054E-5</v>
      </c>
    </row>
    <row r="33" spans="1:8" ht="15" customHeight="1">
      <c r="A33" s="43" t="s">
        <v>84</v>
      </c>
      <c r="B33" s="117">
        <v>83</v>
      </c>
      <c r="C33" s="117">
        <v>86</v>
      </c>
      <c r="D33" s="117">
        <v>105</v>
      </c>
      <c r="E33" s="172">
        <v>61</v>
      </c>
      <c r="F33" s="173">
        <f>SUM(Assuntos_2025[[#This Row],[1° trim 2025]:[4° trim 2025]])</f>
        <v>335</v>
      </c>
      <c r="G33" s="21">
        <f>AVERAGE(Assuntos_2025[[#This Row],[1° trim 2025]:[4° trim 2025]])</f>
        <v>83.75</v>
      </c>
      <c r="H33" s="165">
        <f>(Assuntos_2025[[#This Row],[Total]]/Assuntos_2025[[#Totals],[Total]])</f>
        <v>4.9589223595588776E-3</v>
      </c>
    </row>
    <row r="34" spans="1:8" ht="15" customHeight="1">
      <c r="A34" s="43" t="s">
        <v>85</v>
      </c>
      <c r="B34" s="117">
        <v>1</v>
      </c>
      <c r="C34" s="117">
        <v>1</v>
      </c>
      <c r="D34" s="117">
        <v>4</v>
      </c>
      <c r="E34" s="172">
        <v>6</v>
      </c>
      <c r="F34" s="173">
        <f>SUM(Assuntos_2025[[#This Row],[1° trim 2025]:[4° trim 2025]])</f>
        <v>12</v>
      </c>
      <c r="G34" s="21">
        <f>AVERAGE(Assuntos_2025[[#This Row],[1° trim 2025]:[4° trim 2025]])</f>
        <v>3</v>
      </c>
      <c r="H34" s="165">
        <f>(Assuntos_2025[[#This Row],[Total]]/Assuntos_2025[[#Totals],[Total]])</f>
        <v>1.7763303974539264E-4</v>
      </c>
    </row>
    <row r="35" spans="1:8" ht="15" customHeight="1">
      <c r="A35" s="43" t="s">
        <v>86</v>
      </c>
      <c r="B35" s="117">
        <v>1</v>
      </c>
      <c r="C35" s="117">
        <v>0</v>
      </c>
      <c r="D35" s="117">
        <v>0</v>
      </c>
      <c r="E35" s="172">
        <v>2</v>
      </c>
      <c r="F35" s="173">
        <f>SUM(Assuntos_2025[[#This Row],[1° trim 2025]:[4° trim 2025]])</f>
        <v>3</v>
      </c>
      <c r="G35" s="21">
        <f>AVERAGE(Assuntos_2025[[#This Row],[1° trim 2025]:[4° trim 2025]])</f>
        <v>0.75</v>
      </c>
      <c r="H35" s="165">
        <f>(Assuntos_2025[[#This Row],[Total]]/Assuntos_2025[[#Totals],[Total]])</f>
        <v>4.4408259936348161E-5</v>
      </c>
    </row>
    <row r="36" spans="1:8" ht="15" customHeight="1">
      <c r="A36" s="43" t="s">
        <v>87</v>
      </c>
      <c r="B36" s="117">
        <v>1</v>
      </c>
      <c r="C36" s="117">
        <v>4</v>
      </c>
      <c r="D36" s="117">
        <v>0</v>
      </c>
      <c r="E36" s="172">
        <v>5</v>
      </c>
      <c r="F36" s="173">
        <f>SUM(Assuntos_2025[[#This Row],[1° trim 2025]:[4° trim 2025]])</f>
        <v>10</v>
      </c>
      <c r="G36" s="21">
        <f>AVERAGE(Assuntos_2025[[#This Row],[1° trim 2025]:[4° trim 2025]])</f>
        <v>2.5</v>
      </c>
      <c r="H36" s="165">
        <f>(Assuntos_2025[[#This Row],[Total]]/Assuntos_2025[[#Totals],[Total]])</f>
        <v>1.4802753312116054E-4</v>
      </c>
    </row>
    <row r="37" spans="1:8" ht="15" customHeight="1">
      <c r="A37" s="35" t="s">
        <v>88</v>
      </c>
      <c r="B37" s="117">
        <v>15</v>
      </c>
      <c r="C37" s="117">
        <v>12</v>
      </c>
      <c r="D37" s="117">
        <v>7</v>
      </c>
      <c r="E37" s="172">
        <v>10</v>
      </c>
      <c r="F37" s="173">
        <f>SUM(Assuntos_2025[[#This Row],[1° trim 2025]:[4° trim 2025]])</f>
        <v>44</v>
      </c>
      <c r="G37" s="21">
        <f>AVERAGE(Assuntos_2025[[#This Row],[1° trim 2025]:[4° trim 2025]])</f>
        <v>11</v>
      </c>
      <c r="H37" s="165">
        <f>(Assuntos_2025[[#This Row],[Total]]/Assuntos_2025[[#Totals],[Total]])</f>
        <v>6.5132114573310631E-4</v>
      </c>
    </row>
    <row r="38" spans="1:8" ht="15" customHeight="1">
      <c r="A38" s="35" t="s">
        <v>89</v>
      </c>
      <c r="B38" s="117">
        <v>2</v>
      </c>
      <c r="C38" s="117">
        <v>1</v>
      </c>
      <c r="D38" s="117">
        <v>2</v>
      </c>
      <c r="E38" s="172">
        <v>0</v>
      </c>
      <c r="F38" s="173">
        <f>SUM(Assuntos_2025[[#This Row],[1° trim 2025]:[4° trim 2025]])</f>
        <v>5</v>
      </c>
      <c r="G38" s="21">
        <f>AVERAGE(Assuntos_2025[[#This Row],[1° trim 2025]:[4° trim 2025]])</f>
        <v>1.25</v>
      </c>
      <c r="H38" s="165">
        <f>(Assuntos_2025[[#This Row],[Total]]/Assuntos_2025[[#Totals],[Total]])</f>
        <v>7.4013766560580268E-5</v>
      </c>
    </row>
    <row r="39" spans="1:8" ht="15" customHeight="1">
      <c r="A39" s="35" t="s">
        <v>90</v>
      </c>
      <c r="B39" s="117">
        <v>2</v>
      </c>
      <c r="C39" s="117">
        <v>2</v>
      </c>
      <c r="D39" s="117">
        <v>3</v>
      </c>
      <c r="E39" s="172">
        <v>2</v>
      </c>
      <c r="F39" s="173">
        <f>SUM(Assuntos_2025[[#This Row],[1° trim 2025]:[4° trim 2025]])</f>
        <v>9</v>
      </c>
      <c r="G39" s="21">
        <f>AVERAGE(Assuntos_2025[[#This Row],[1° trim 2025]:[4° trim 2025]])</f>
        <v>2.25</v>
      </c>
      <c r="H39" s="165">
        <f>(Assuntos_2025[[#This Row],[Total]]/Assuntos_2025[[#Totals],[Total]])</f>
        <v>1.3322477980904447E-4</v>
      </c>
    </row>
    <row r="40" spans="1:8" ht="15" customHeight="1">
      <c r="A40" s="35" t="s">
        <v>91</v>
      </c>
      <c r="B40" s="117">
        <v>0</v>
      </c>
      <c r="C40" s="117">
        <v>0</v>
      </c>
      <c r="D40" s="117">
        <v>0</v>
      </c>
      <c r="E40" s="172">
        <v>0</v>
      </c>
      <c r="F40" s="173">
        <f>SUM(Assuntos_2025[[#This Row],[1° trim 2025]:[4° trim 2025]])</f>
        <v>0</v>
      </c>
      <c r="G40" s="21">
        <f>AVERAGE(Assuntos_2025[[#This Row],[1° trim 2025]:[4° trim 2025]])</f>
        <v>0</v>
      </c>
      <c r="H40" s="165">
        <f>(Assuntos_2025[[#This Row],[Total]]/Assuntos_2025[[#Totals],[Total]])</f>
        <v>0</v>
      </c>
    </row>
    <row r="41" spans="1:8" ht="15" customHeight="1">
      <c r="A41" s="43" t="s">
        <v>92</v>
      </c>
      <c r="B41" s="117">
        <v>12</v>
      </c>
      <c r="C41" s="117">
        <v>8</v>
      </c>
      <c r="D41" s="117">
        <v>13</v>
      </c>
      <c r="E41" s="172">
        <v>11</v>
      </c>
      <c r="F41" s="173">
        <f>SUM(Assuntos_2025[[#This Row],[1° trim 2025]:[4° trim 2025]])</f>
        <v>44</v>
      </c>
      <c r="G41" s="21">
        <f>AVERAGE(Assuntos_2025[[#This Row],[1° trim 2025]:[4° trim 2025]])</f>
        <v>11</v>
      </c>
      <c r="H41" s="165">
        <f>(Assuntos_2025[[#This Row],[Total]]/Assuntos_2025[[#Totals],[Total]])</f>
        <v>6.5132114573310631E-4</v>
      </c>
    </row>
    <row r="42" spans="1:8" ht="15" customHeight="1">
      <c r="A42" s="35" t="s">
        <v>93</v>
      </c>
      <c r="B42" s="117">
        <v>158</v>
      </c>
      <c r="C42" s="117">
        <v>158</v>
      </c>
      <c r="D42" s="117">
        <v>141</v>
      </c>
      <c r="E42" s="172">
        <v>132</v>
      </c>
      <c r="F42" s="173">
        <f>SUM(Assuntos_2025[[#This Row],[1° trim 2025]:[4° trim 2025]])</f>
        <v>589</v>
      </c>
      <c r="G42" s="21">
        <f>AVERAGE(Assuntos_2025[[#This Row],[1° trim 2025]:[4° trim 2025]])</f>
        <v>147.25</v>
      </c>
      <c r="H42" s="165">
        <f>(Assuntos_2025[[#This Row],[Total]]/Assuntos_2025[[#Totals],[Total]])</f>
        <v>8.7188217008363558E-3</v>
      </c>
    </row>
    <row r="43" spans="1:8" ht="15" customHeight="1">
      <c r="A43" s="35" t="s">
        <v>94</v>
      </c>
      <c r="B43" s="117">
        <v>43</v>
      </c>
      <c r="C43" s="117">
        <v>57</v>
      </c>
      <c r="D43" s="117">
        <v>28</v>
      </c>
      <c r="E43" s="172">
        <v>37</v>
      </c>
      <c r="F43" s="173">
        <f>SUM(Assuntos_2025[[#This Row],[1° trim 2025]:[4° trim 2025]])</f>
        <v>165</v>
      </c>
      <c r="G43" s="21">
        <f>AVERAGE(Assuntos_2025[[#This Row],[1° trim 2025]:[4° trim 2025]])</f>
        <v>41.25</v>
      </c>
      <c r="H43" s="165">
        <f>(Assuntos_2025[[#This Row],[Total]]/Assuntos_2025[[#Totals],[Total]])</f>
        <v>2.4424542964991487E-3</v>
      </c>
    </row>
    <row r="44" spans="1:8" ht="15" customHeight="1">
      <c r="A44" s="35" t="s">
        <v>47</v>
      </c>
      <c r="B44" s="117">
        <v>977</v>
      </c>
      <c r="C44" s="117">
        <v>986</v>
      </c>
      <c r="D44" s="117">
        <v>629</v>
      </c>
      <c r="E44" s="172">
        <v>545</v>
      </c>
      <c r="F44" s="173">
        <f>SUM(Assuntos_2025[[#This Row],[1° trim 2025]:[4° trim 2025]])</f>
        <v>3137</v>
      </c>
      <c r="G44" s="21">
        <f>AVERAGE(Assuntos_2025[[#This Row],[1° trim 2025]:[4° trim 2025]])</f>
        <v>784.25</v>
      </c>
      <c r="H44" s="165">
        <f>(Assuntos_2025[[#This Row],[Total]]/Assuntos_2025[[#Totals],[Total]])</f>
        <v>4.6436237140108062E-2</v>
      </c>
    </row>
    <row r="45" spans="1:8" ht="15" customHeight="1">
      <c r="A45" s="35" t="s">
        <v>95</v>
      </c>
      <c r="B45" s="117">
        <v>2</v>
      </c>
      <c r="C45" s="117">
        <v>1</v>
      </c>
      <c r="D45" s="117">
        <v>1</v>
      </c>
      <c r="E45" s="172">
        <v>1</v>
      </c>
      <c r="F45" s="173">
        <f>SUM(Assuntos_2025[[#This Row],[1° trim 2025]:[4° trim 2025]])</f>
        <v>5</v>
      </c>
      <c r="G45" s="21">
        <f>AVERAGE(Assuntos_2025[[#This Row],[1° trim 2025]:[4° trim 2025]])</f>
        <v>1.25</v>
      </c>
      <c r="H45" s="165">
        <f>(Assuntos_2025[[#This Row],[Total]]/Assuntos_2025[[#Totals],[Total]])</f>
        <v>7.4013766560580268E-5</v>
      </c>
    </row>
    <row r="46" spans="1:8" ht="15" customHeight="1">
      <c r="A46" s="35" t="s">
        <v>96</v>
      </c>
      <c r="B46" s="117">
        <v>0</v>
      </c>
      <c r="C46" s="117">
        <v>0</v>
      </c>
      <c r="D46" s="117">
        <v>0</v>
      </c>
      <c r="E46" s="172">
        <v>0</v>
      </c>
      <c r="F46" s="173">
        <f>SUM(Assuntos_2025[[#This Row],[1° trim 2025]:[4° trim 2025]])</f>
        <v>0</v>
      </c>
      <c r="G46" s="21">
        <f>AVERAGE(Assuntos_2025[[#This Row],[1° trim 2025]:[4° trim 2025]])</f>
        <v>0</v>
      </c>
      <c r="H46" s="165">
        <f>(Assuntos_2025[[#This Row],[Total]]/Assuntos_2025[[#Totals],[Total]])</f>
        <v>0</v>
      </c>
    </row>
    <row r="47" spans="1:8" ht="15" customHeight="1">
      <c r="A47" s="35" t="s">
        <v>46</v>
      </c>
      <c r="B47" s="117">
        <v>616</v>
      </c>
      <c r="C47" s="117">
        <v>397</v>
      </c>
      <c r="D47" s="117">
        <v>645</v>
      </c>
      <c r="E47" s="172">
        <v>388</v>
      </c>
      <c r="F47" s="173">
        <f>SUM(Assuntos_2025[[#This Row],[1° trim 2025]:[4° trim 2025]])</f>
        <v>2046</v>
      </c>
      <c r="G47" s="21">
        <f>AVERAGE(Assuntos_2025[[#This Row],[1° trim 2025]:[4° trim 2025]])</f>
        <v>511.5</v>
      </c>
      <c r="H47" s="165">
        <f>(Assuntos_2025[[#This Row],[Total]]/Assuntos_2025[[#Totals],[Total]])</f>
        <v>3.0286433276589447E-2</v>
      </c>
    </row>
    <row r="48" spans="1:8" ht="15" customHeight="1">
      <c r="A48" s="35" t="s">
        <v>97</v>
      </c>
      <c r="B48" s="117">
        <v>3</v>
      </c>
      <c r="C48" s="117">
        <v>8</v>
      </c>
      <c r="D48" s="117">
        <v>13</v>
      </c>
      <c r="E48" s="172">
        <v>13</v>
      </c>
      <c r="F48" s="173">
        <f>SUM(Assuntos_2025[[#This Row],[1° trim 2025]:[4° trim 2025]])</f>
        <v>37</v>
      </c>
      <c r="G48" s="21">
        <f>AVERAGE(Assuntos_2025[[#This Row],[1° trim 2025]:[4° trim 2025]])</f>
        <v>9.25</v>
      </c>
      <c r="H48" s="165">
        <f>(Assuntos_2025[[#This Row],[Total]]/Assuntos_2025[[#Totals],[Total]])</f>
        <v>5.4770187254829397E-4</v>
      </c>
    </row>
    <row r="49" spans="1:8" ht="15" customHeight="1">
      <c r="A49" s="35" t="s">
        <v>98</v>
      </c>
      <c r="B49" s="117">
        <v>488</v>
      </c>
      <c r="C49" s="117">
        <v>485</v>
      </c>
      <c r="D49" s="117">
        <v>442</v>
      </c>
      <c r="E49" s="172">
        <v>380</v>
      </c>
      <c r="F49" s="173">
        <f>SUM(Assuntos_2025[[#This Row],[1° trim 2025]:[4° trim 2025]])</f>
        <v>1795</v>
      </c>
      <c r="G49" s="21">
        <f>AVERAGE(Assuntos_2025[[#This Row],[1° trim 2025]:[4° trim 2025]])</f>
        <v>448.75</v>
      </c>
      <c r="H49" s="165">
        <f>(Assuntos_2025[[#This Row],[Total]]/Assuntos_2025[[#Totals],[Total]])</f>
        <v>2.6570942195248318E-2</v>
      </c>
    </row>
    <row r="50" spans="1:8" ht="15" customHeight="1">
      <c r="A50" s="35" t="s">
        <v>99</v>
      </c>
      <c r="B50" s="117">
        <v>559</v>
      </c>
      <c r="C50" s="117">
        <v>397</v>
      </c>
      <c r="D50" s="117">
        <v>141</v>
      </c>
      <c r="E50" s="172">
        <v>160</v>
      </c>
      <c r="F50" s="173">
        <f>SUM(Assuntos_2025[[#This Row],[1° trim 2025]:[4° trim 2025]])</f>
        <v>1257</v>
      </c>
      <c r="G50" s="21">
        <f>AVERAGE(Assuntos_2025[[#This Row],[1° trim 2025]:[4° trim 2025]])</f>
        <v>314.25</v>
      </c>
      <c r="H50" s="165">
        <f>(Assuntos_2025[[#This Row],[Total]]/Assuntos_2025[[#Totals],[Total]])</f>
        <v>1.8607060913329879E-2</v>
      </c>
    </row>
    <row r="51" spans="1:8" ht="15" customHeight="1">
      <c r="A51" s="35" t="s">
        <v>100</v>
      </c>
      <c r="B51" s="117">
        <v>2</v>
      </c>
      <c r="C51" s="117">
        <v>7</v>
      </c>
      <c r="D51" s="117">
        <v>3</v>
      </c>
      <c r="E51" s="172">
        <v>7</v>
      </c>
      <c r="F51" s="173">
        <f>SUM(Assuntos_2025[[#This Row],[1° trim 2025]:[4° trim 2025]])</f>
        <v>19</v>
      </c>
      <c r="G51" s="21">
        <f>AVERAGE(Assuntos_2025[[#This Row],[1° trim 2025]:[4° trim 2025]])</f>
        <v>4.75</v>
      </c>
      <c r="H51" s="165">
        <f>(Assuntos_2025[[#This Row],[Total]]/Assuntos_2025[[#Totals],[Total]])</f>
        <v>2.8125231293020503E-4</v>
      </c>
    </row>
    <row r="52" spans="1:8" ht="15" customHeight="1">
      <c r="A52" s="35" t="s">
        <v>101</v>
      </c>
      <c r="B52" s="117">
        <v>202</v>
      </c>
      <c r="C52" s="117">
        <v>102</v>
      </c>
      <c r="D52" s="117">
        <v>108</v>
      </c>
      <c r="E52" s="172">
        <v>49</v>
      </c>
      <c r="F52" s="173">
        <f>SUM(Assuntos_2025[[#This Row],[1° trim 2025]:[4° trim 2025]])</f>
        <v>461</v>
      </c>
      <c r="G52" s="21">
        <f>AVERAGE(Assuntos_2025[[#This Row],[1° trim 2025]:[4° trim 2025]])</f>
        <v>115.25</v>
      </c>
      <c r="H52" s="165">
        <f>(Assuntos_2025[[#This Row],[Total]]/Assuntos_2025[[#Totals],[Total]])</f>
        <v>6.824069276885501E-3</v>
      </c>
    </row>
    <row r="53" spans="1:8" ht="15" customHeight="1">
      <c r="A53" s="35" t="s">
        <v>102</v>
      </c>
      <c r="B53" s="117">
        <v>8</v>
      </c>
      <c r="C53" s="117">
        <v>5</v>
      </c>
      <c r="D53" s="117">
        <v>3</v>
      </c>
      <c r="E53" s="172">
        <v>3</v>
      </c>
      <c r="F53" s="173">
        <f>SUM(Assuntos_2025[[#This Row],[1° trim 2025]:[4° trim 2025]])</f>
        <v>19</v>
      </c>
      <c r="G53" s="21">
        <f>AVERAGE(Assuntos_2025[[#This Row],[1° trim 2025]:[4° trim 2025]])</f>
        <v>4.75</v>
      </c>
      <c r="H53" s="165">
        <f>(Assuntos_2025[[#This Row],[Total]]/Assuntos_2025[[#Totals],[Total]])</f>
        <v>2.8125231293020503E-4</v>
      </c>
    </row>
    <row r="54" spans="1:8" ht="15" customHeight="1">
      <c r="A54" s="35" t="s">
        <v>103</v>
      </c>
      <c r="B54" s="117">
        <v>0</v>
      </c>
      <c r="C54" s="117">
        <v>1</v>
      </c>
      <c r="D54" s="117">
        <v>0</v>
      </c>
      <c r="E54" s="172">
        <v>3</v>
      </c>
      <c r="F54" s="173">
        <f>SUM(Assuntos_2025[[#This Row],[1° trim 2025]:[4° trim 2025]])</f>
        <v>4</v>
      </c>
      <c r="G54" s="21">
        <f>AVERAGE(Assuntos_2025[[#This Row],[1° trim 2025]:[4° trim 2025]])</f>
        <v>1</v>
      </c>
      <c r="H54" s="165">
        <f>(Assuntos_2025[[#This Row],[Total]]/Assuntos_2025[[#Totals],[Total]])</f>
        <v>5.9211013248464215E-5</v>
      </c>
    </row>
    <row r="55" spans="1:8" ht="15" customHeight="1">
      <c r="A55" s="35" t="s">
        <v>104</v>
      </c>
      <c r="B55" s="117">
        <v>20</v>
      </c>
      <c r="C55" s="117">
        <v>23</v>
      </c>
      <c r="D55" s="117">
        <v>12</v>
      </c>
      <c r="E55" s="172">
        <v>20</v>
      </c>
      <c r="F55" s="173">
        <f>SUM(Assuntos_2025[[#This Row],[1° trim 2025]:[4° trim 2025]])</f>
        <v>75</v>
      </c>
      <c r="G55" s="21">
        <f>AVERAGE(Assuntos_2025[[#This Row],[1° trim 2025]:[4° trim 2025]])</f>
        <v>18.75</v>
      </c>
      <c r="H55" s="165">
        <f>(Assuntos_2025[[#This Row],[Total]]/Assuntos_2025[[#Totals],[Total]])</f>
        <v>1.1102064984087039E-3</v>
      </c>
    </row>
    <row r="56" spans="1:8" ht="15" customHeight="1">
      <c r="A56" s="35" t="s">
        <v>105</v>
      </c>
      <c r="B56" s="117">
        <v>57</v>
      </c>
      <c r="C56" s="117">
        <v>78</v>
      </c>
      <c r="D56" s="117">
        <v>106</v>
      </c>
      <c r="E56" s="172">
        <v>46</v>
      </c>
      <c r="F56" s="173">
        <f>SUM(Assuntos_2025[[#This Row],[1° trim 2025]:[4° trim 2025]])</f>
        <v>287</v>
      </c>
      <c r="G56" s="21">
        <f>AVERAGE(Assuntos_2025[[#This Row],[1° trim 2025]:[4° trim 2025]])</f>
        <v>71.75</v>
      </c>
      <c r="H56" s="165">
        <f>(Assuntos_2025[[#This Row],[Total]]/Assuntos_2025[[#Totals],[Total]])</f>
        <v>4.2483902005773077E-3</v>
      </c>
    </row>
    <row r="57" spans="1:8" ht="15" customHeight="1">
      <c r="A57" s="43" t="s">
        <v>106</v>
      </c>
      <c r="B57" s="117">
        <v>75</v>
      </c>
      <c r="C57" s="117">
        <v>56</v>
      </c>
      <c r="D57" s="117">
        <v>84</v>
      </c>
      <c r="E57" s="172">
        <v>82</v>
      </c>
      <c r="F57" s="173">
        <f>SUM(Assuntos_2025[[#This Row],[1° trim 2025]:[4° trim 2025]])</f>
        <v>297</v>
      </c>
      <c r="G57" s="21">
        <f>AVERAGE(Assuntos_2025[[#This Row],[1° trim 2025]:[4° trim 2025]])</f>
        <v>74.25</v>
      </c>
      <c r="H57" s="165">
        <f>(Assuntos_2025[[#This Row],[Total]]/Assuntos_2025[[#Totals],[Total]])</f>
        <v>4.396417733698468E-3</v>
      </c>
    </row>
    <row r="58" spans="1:8" ht="15" customHeight="1">
      <c r="A58" s="35" t="s">
        <v>107</v>
      </c>
      <c r="B58" s="117">
        <v>28</v>
      </c>
      <c r="C58" s="117">
        <v>43</v>
      </c>
      <c r="D58" s="117">
        <v>30</v>
      </c>
      <c r="E58" s="172">
        <v>23</v>
      </c>
      <c r="F58" s="173">
        <f>SUM(Assuntos_2025[[#This Row],[1° trim 2025]:[4° trim 2025]])</f>
        <v>124</v>
      </c>
      <c r="G58" s="21">
        <f>AVERAGE(Assuntos_2025[[#This Row],[1° trim 2025]:[4° trim 2025]])</f>
        <v>31</v>
      </c>
      <c r="H58" s="165">
        <f>(Assuntos_2025[[#This Row],[Total]]/Assuntos_2025[[#Totals],[Total]])</f>
        <v>1.8355414107023907E-3</v>
      </c>
    </row>
    <row r="59" spans="1:8" ht="15" customHeight="1">
      <c r="A59" s="35" t="s">
        <v>108</v>
      </c>
      <c r="B59" s="117">
        <v>2</v>
      </c>
      <c r="C59" s="117">
        <v>1</v>
      </c>
      <c r="D59" s="117">
        <v>2</v>
      </c>
      <c r="E59" s="172">
        <v>1</v>
      </c>
      <c r="F59" s="173">
        <f>SUM(Assuntos_2025[[#This Row],[1° trim 2025]:[4° trim 2025]])</f>
        <v>6</v>
      </c>
      <c r="G59" s="21">
        <f>AVERAGE(Assuntos_2025[[#This Row],[1° trim 2025]:[4° trim 2025]])</f>
        <v>1.5</v>
      </c>
      <c r="H59" s="165">
        <f>(Assuntos_2025[[#This Row],[Total]]/Assuntos_2025[[#Totals],[Total]])</f>
        <v>8.8816519872696322E-5</v>
      </c>
    </row>
    <row r="60" spans="1:8" ht="15" customHeight="1">
      <c r="A60" s="35" t="s">
        <v>109</v>
      </c>
      <c r="B60" s="117">
        <v>21</v>
      </c>
      <c r="C60" s="117">
        <v>18</v>
      </c>
      <c r="D60" s="117">
        <v>21</v>
      </c>
      <c r="E60" s="172">
        <v>18</v>
      </c>
      <c r="F60" s="173">
        <f>SUM(Assuntos_2025[[#This Row],[1° trim 2025]:[4° trim 2025]])</f>
        <v>78</v>
      </c>
      <c r="G60" s="21">
        <f>AVERAGE(Assuntos_2025[[#This Row],[1° trim 2025]:[4° trim 2025]])</f>
        <v>19.5</v>
      </c>
      <c r="H60" s="165">
        <f>(Assuntos_2025[[#This Row],[Total]]/Assuntos_2025[[#Totals],[Total]])</f>
        <v>1.1546147583450521E-3</v>
      </c>
    </row>
    <row r="61" spans="1:8" ht="15" customHeight="1">
      <c r="A61" s="35" t="s">
        <v>110</v>
      </c>
      <c r="B61" s="117">
        <v>0</v>
      </c>
      <c r="C61" s="117">
        <v>0</v>
      </c>
      <c r="D61" s="117">
        <v>1</v>
      </c>
      <c r="E61" s="172">
        <v>0</v>
      </c>
      <c r="F61" s="173">
        <f>SUM(Assuntos_2025[[#This Row],[1° trim 2025]:[4° trim 2025]])</f>
        <v>1</v>
      </c>
      <c r="G61" s="21">
        <f>AVERAGE(Assuntos_2025[[#This Row],[1° trim 2025]:[4° trim 2025]])</f>
        <v>0.25</v>
      </c>
      <c r="H61" s="165">
        <f>(Assuntos_2025[[#This Row],[Total]]/Assuntos_2025[[#Totals],[Total]])</f>
        <v>1.4802753312116054E-5</v>
      </c>
    </row>
    <row r="62" spans="1:8" ht="15" customHeight="1">
      <c r="A62" s="35" t="s">
        <v>111</v>
      </c>
      <c r="B62" s="117">
        <v>1</v>
      </c>
      <c r="C62" s="117">
        <v>0</v>
      </c>
      <c r="D62" s="117">
        <v>2</v>
      </c>
      <c r="E62" s="172">
        <v>0</v>
      </c>
      <c r="F62" s="173">
        <f>SUM(Assuntos_2025[[#This Row],[1° trim 2025]:[4° trim 2025]])</f>
        <v>3</v>
      </c>
      <c r="G62" s="21">
        <f>AVERAGE(Assuntos_2025[[#This Row],[1° trim 2025]:[4° trim 2025]])</f>
        <v>0.75</v>
      </c>
      <c r="H62" s="165">
        <f>(Assuntos_2025[[#This Row],[Total]]/Assuntos_2025[[#Totals],[Total]])</f>
        <v>4.4408259936348161E-5</v>
      </c>
    </row>
    <row r="63" spans="1:8" ht="15" customHeight="1">
      <c r="A63" s="35" t="s">
        <v>112</v>
      </c>
      <c r="B63" s="117">
        <v>250</v>
      </c>
      <c r="C63" s="117">
        <v>264</v>
      </c>
      <c r="D63" s="117">
        <v>251</v>
      </c>
      <c r="E63" s="172">
        <v>212</v>
      </c>
      <c r="F63" s="173">
        <f>SUM(Assuntos_2025[[#This Row],[1° trim 2025]:[4° trim 2025]])</f>
        <v>977</v>
      </c>
      <c r="G63" s="21">
        <f>AVERAGE(Assuntos_2025[[#This Row],[1° trim 2025]:[4° trim 2025]])</f>
        <v>244.25</v>
      </c>
      <c r="H63" s="165">
        <f>(Assuntos_2025[[#This Row],[Total]]/Assuntos_2025[[#Totals],[Total]])</f>
        <v>1.4462289985937384E-2</v>
      </c>
    </row>
    <row r="64" spans="1:8" ht="15" customHeight="1">
      <c r="A64" s="35" t="s">
        <v>113</v>
      </c>
      <c r="B64" s="117">
        <v>123</v>
      </c>
      <c r="C64" s="117">
        <v>52</v>
      </c>
      <c r="D64" s="117">
        <v>55</v>
      </c>
      <c r="E64" s="172">
        <v>47</v>
      </c>
      <c r="F64" s="173">
        <f>SUM(Assuntos_2025[[#This Row],[1° trim 2025]:[4° trim 2025]])</f>
        <v>277</v>
      </c>
      <c r="G64" s="21">
        <f>AVERAGE(Assuntos_2025[[#This Row],[1° trim 2025]:[4° trim 2025]])</f>
        <v>69.25</v>
      </c>
      <c r="H64" s="165">
        <f>(Assuntos_2025[[#This Row],[Total]]/Assuntos_2025[[#Totals],[Total]])</f>
        <v>4.1003626674561465E-3</v>
      </c>
    </row>
    <row r="65" spans="1:8" ht="15" customHeight="1">
      <c r="A65" s="35" t="s">
        <v>114</v>
      </c>
      <c r="B65" s="117">
        <v>112</v>
      </c>
      <c r="C65" s="117">
        <v>60</v>
      </c>
      <c r="D65" s="117">
        <v>47</v>
      </c>
      <c r="E65" s="172">
        <v>85</v>
      </c>
      <c r="F65" s="173">
        <f>SUM(Assuntos_2025[[#This Row],[1° trim 2025]:[4° trim 2025]])</f>
        <v>304</v>
      </c>
      <c r="G65" s="21">
        <f>AVERAGE(Assuntos_2025[[#This Row],[1° trim 2025]:[4° trim 2025]])</f>
        <v>76</v>
      </c>
      <c r="H65" s="165">
        <f>(Assuntos_2025[[#This Row],[Total]]/Assuntos_2025[[#Totals],[Total]])</f>
        <v>4.5000370068832805E-3</v>
      </c>
    </row>
    <row r="66" spans="1:8" ht="15" customHeight="1">
      <c r="A66" s="35" t="s">
        <v>115</v>
      </c>
      <c r="B66" s="117">
        <v>1</v>
      </c>
      <c r="C66" s="117">
        <v>1</v>
      </c>
      <c r="D66" s="117">
        <v>2</v>
      </c>
      <c r="E66" s="172">
        <v>0</v>
      </c>
      <c r="F66" s="173">
        <f>SUM(Assuntos_2025[[#This Row],[1° trim 2025]:[4° trim 2025]])</f>
        <v>4</v>
      </c>
      <c r="G66" s="21">
        <f>AVERAGE(Assuntos_2025[[#This Row],[1° trim 2025]:[4° trim 2025]])</f>
        <v>1</v>
      </c>
      <c r="H66" s="165">
        <f>(Assuntos_2025[[#This Row],[Total]]/Assuntos_2025[[#Totals],[Total]])</f>
        <v>5.9211013248464215E-5</v>
      </c>
    </row>
    <row r="67" spans="1:8" ht="15" customHeight="1">
      <c r="A67" s="35" t="s">
        <v>116</v>
      </c>
      <c r="B67" s="117">
        <v>44</v>
      </c>
      <c r="C67" s="117">
        <v>34</v>
      </c>
      <c r="D67" s="117">
        <v>43</v>
      </c>
      <c r="E67" s="172">
        <v>27</v>
      </c>
      <c r="F67" s="173">
        <f>SUM(Assuntos_2025[[#This Row],[1° trim 2025]:[4° trim 2025]])</f>
        <v>148</v>
      </c>
      <c r="G67" s="21">
        <f>AVERAGE(Assuntos_2025[[#This Row],[1° trim 2025]:[4° trim 2025]])</f>
        <v>37</v>
      </c>
      <c r="H67" s="165">
        <f>(Assuntos_2025[[#This Row],[Total]]/Assuntos_2025[[#Totals],[Total]])</f>
        <v>2.1908074901931759E-3</v>
      </c>
    </row>
    <row r="68" spans="1:8" ht="15" customHeight="1">
      <c r="A68" s="35" t="s">
        <v>117</v>
      </c>
      <c r="B68" s="117">
        <v>4</v>
      </c>
      <c r="C68" s="117">
        <v>20</v>
      </c>
      <c r="D68" s="117">
        <v>5</v>
      </c>
      <c r="E68" s="172">
        <v>2</v>
      </c>
      <c r="F68" s="173">
        <f>SUM(Assuntos_2025[[#This Row],[1° trim 2025]:[4° trim 2025]])</f>
        <v>31</v>
      </c>
      <c r="G68" s="21">
        <f>AVERAGE(Assuntos_2025[[#This Row],[1° trim 2025]:[4° trim 2025]])</f>
        <v>7.75</v>
      </c>
      <c r="H68" s="165">
        <f>(Assuntos_2025[[#This Row],[Total]]/Assuntos_2025[[#Totals],[Total]])</f>
        <v>4.5888535267559768E-4</v>
      </c>
    </row>
    <row r="69" spans="1:8" ht="15" customHeight="1">
      <c r="A69" s="35" t="s">
        <v>118</v>
      </c>
      <c r="B69" s="117">
        <v>0</v>
      </c>
      <c r="C69" s="117">
        <v>0</v>
      </c>
      <c r="D69" s="117">
        <v>0</v>
      </c>
      <c r="E69" s="172">
        <v>1</v>
      </c>
      <c r="F69" s="173">
        <f>SUM(Assuntos_2025[[#This Row],[1° trim 2025]:[4° trim 2025]])</f>
        <v>1</v>
      </c>
      <c r="G69" s="21">
        <f>AVERAGE(Assuntos_2025[[#This Row],[1° trim 2025]:[4° trim 2025]])</f>
        <v>0.25</v>
      </c>
      <c r="H69" s="165">
        <f>(Assuntos_2025[[#This Row],[Total]]/Assuntos_2025[[#Totals],[Total]])</f>
        <v>1.4802753312116054E-5</v>
      </c>
    </row>
    <row r="70" spans="1:8" ht="15" customHeight="1">
      <c r="A70" s="35" t="s">
        <v>119</v>
      </c>
      <c r="B70" s="117">
        <v>0</v>
      </c>
      <c r="C70" s="117">
        <v>0</v>
      </c>
      <c r="D70" s="117">
        <v>0</v>
      </c>
      <c r="E70" s="172">
        <v>0</v>
      </c>
      <c r="F70" s="173">
        <f>SUM(Assuntos_2025[[#This Row],[1° trim 2025]:[4° trim 2025]])</f>
        <v>0</v>
      </c>
      <c r="G70" s="21">
        <f>AVERAGE(Assuntos_2025[[#This Row],[1° trim 2025]:[4° trim 2025]])</f>
        <v>0</v>
      </c>
      <c r="H70" s="165">
        <f>(Assuntos_2025[[#This Row],[Total]]/Assuntos_2025[[#Totals],[Total]])</f>
        <v>0</v>
      </c>
    </row>
    <row r="71" spans="1:8" ht="15" customHeight="1">
      <c r="A71" s="35" t="s">
        <v>120</v>
      </c>
      <c r="B71" s="117">
        <v>50</v>
      </c>
      <c r="C71" s="117">
        <v>57</v>
      </c>
      <c r="D71" s="117">
        <v>43</v>
      </c>
      <c r="E71" s="172">
        <v>17</v>
      </c>
      <c r="F71" s="173">
        <f>SUM(Assuntos_2025[[#This Row],[1° trim 2025]:[4° trim 2025]])</f>
        <v>167</v>
      </c>
      <c r="G71" s="21">
        <f>AVERAGE(Assuntos_2025[[#This Row],[1° trim 2025]:[4° trim 2025]])</f>
        <v>41.75</v>
      </c>
      <c r="H71" s="165">
        <f>(Assuntos_2025[[#This Row],[Total]]/Assuntos_2025[[#Totals],[Total]])</f>
        <v>2.4720598031233811E-3</v>
      </c>
    </row>
    <row r="72" spans="1:8" ht="15" customHeight="1">
      <c r="A72" s="35" t="s">
        <v>121</v>
      </c>
      <c r="B72" s="117">
        <v>141</v>
      </c>
      <c r="C72" s="117">
        <v>124</v>
      </c>
      <c r="D72" s="117">
        <v>71</v>
      </c>
      <c r="E72" s="172">
        <v>81</v>
      </c>
      <c r="F72" s="173">
        <f>SUM(Assuntos_2025[[#This Row],[1° trim 2025]:[4° trim 2025]])</f>
        <v>417</v>
      </c>
      <c r="G72" s="21">
        <f>AVERAGE(Assuntos_2025[[#This Row],[1° trim 2025]:[4° trim 2025]])</f>
        <v>104.25</v>
      </c>
      <c r="H72" s="165">
        <f>(Assuntos_2025[[#This Row],[Total]]/Assuntos_2025[[#Totals],[Total]])</f>
        <v>6.1727481311523941E-3</v>
      </c>
    </row>
    <row r="73" spans="1:8" ht="15" customHeight="1">
      <c r="A73" s="35" t="s">
        <v>122</v>
      </c>
      <c r="B73" s="117">
        <v>6</v>
      </c>
      <c r="C73" s="117">
        <v>7</v>
      </c>
      <c r="D73" s="117">
        <v>5</v>
      </c>
      <c r="E73" s="172">
        <v>9</v>
      </c>
      <c r="F73" s="173">
        <f>SUM(Assuntos_2025[[#This Row],[1° trim 2025]:[4° trim 2025]])</f>
        <v>27</v>
      </c>
      <c r="G73" s="21">
        <f>AVERAGE(Assuntos_2025[[#This Row],[1° trim 2025]:[4° trim 2025]])</f>
        <v>6.75</v>
      </c>
      <c r="H73" s="165">
        <f>(Assuntos_2025[[#This Row],[Total]]/Assuntos_2025[[#Totals],[Total]])</f>
        <v>3.9967433942713346E-4</v>
      </c>
    </row>
    <row r="74" spans="1:8" ht="15" customHeight="1">
      <c r="A74" s="35" t="s">
        <v>123</v>
      </c>
      <c r="B74" s="117">
        <v>27</v>
      </c>
      <c r="C74" s="117">
        <v>25</v>
      </c>
      <c r="D74" s="117">
        <v>11</v>
      </c>
      <c r="E74" s="172">
        <v>35</v>
      </c>
      <c r="F74" s="173">
        <f>SUM(Assuntos_2025[[#This Row],[1° trim 2025]:[4° trim 2025]])</f>
        <v>98</v>
      </c>
      <c r="G74" s="21">
        <f>AVERAGE(Assuntos_2025[[#This Row],[1° trim 2025]:[4° trim 2025]])</f>
        <v>24.5</v>
      </c>
      <c r="H74" s="165">
        <f>(Assuntos_2025[[#This Row],[Total]]/Assuntos_2025[[#Totals],[Total]])</f>
        <v>1.4506698245873733E-3</v>
      </c>
    </row>
    <row r="75" spans="1:8" ht="15" customHeight="1">
      <c r="A75" s="35" t="s">
        <v>124</v>
      </c>
      <c r="B75" s="117">
        <v>0</v>
      </c>
      <c r="C75" s="117">
        <v>1</v>
      </c>
      <c r="D75" s="117">
        <v>0</v>
      </c>
      <c r="E75" s="172">
        <v>0</v>
      </c>
      <c r="F75" s="173">
        <f>SUM(Assuntos_2025[[#This Row],[1° trim 2025]:[4° trim 2025]])</f>
        <v>1</v>
      </c>
      <c r="G75" s="21">
        <f>AVERAGE(Assuntos_2025[[#This Row],[1° trim 2025]:[4° trim 2025]])</f>
        <v>0.25</v>
      </c>
      <c r="H75" s="165">
        <f>(Assuntos_2025[[#This Row],[Total]]/Assuntos_2025[[#Totals],[Total]])</f>
        <v>1.4802753312116054E-5</v>
      </c>
    </row>
    <row r="76" spans="1:8" ht="15" customHeight="1">
      <c r="A76" s="35" t="s">
        <v>125</v>
      </c>
      <c r="B76" s="117">
        <v>48</v>
      </c>
      <c r="C76" s="117">
        <v>46</v>
      </c>
      <c r="D76" s="117">
        <v>30</v>
      </c>
      <c r="E76" s="172">
        <v>22</v>
      </c>
      <c r="F76" s="173">
        <f>SUM(Assuntos_2025[[#This Row],[1° trim 2025]:[4° trim 2025]])</f>
        <v>146</v>
      </c>
      <c r="G76" s="21">
        <f>AVERAGE(Assuntos_2025[[#This Row],[1° trim 2025]:[4° trim 2025]])</f>
        <v>36.5</v>
      </c>
      <c r="H76" s="165">
        <f>(Assuntos_2025[[#This Row],[Total]]/Assuntos_2025[[#Totals],[Total]])</f>
        <v>2.1612019835689439E-3</v>
      </c>
    </row>
    <row r="77" spans="1:8" ht="15" customHeight="1">
      <c r="A77" s="35" t="s">
        <v>126</v>
      </c>
      <c r="B77" s="117">
        <v>23</v>
      </c>
      <c r="C77" s="117">
        <v>19</v>
      </c>
      <c r="D77" s="117">
        <v>11</v>
      </c>
      <c r="E77" s="172">
        <v>19</v>
      </c>
      <c r="F77" s="173">
        <f>SUM(Assuntos_2025[[#This Row],[1° trim 2025]:[4° trim 2025]])</f>
        <v>72</v>
      </c>
      <c r="G77" s="21">
        <f>AVERAGE(Assuntos_2025[[#This Row],[1° trim 2025]:[4° trim 2025]])</f>
        <v>18</v>
      </c>
      <c r="H77" s="165">
        <f>(Assuntos_2025[[#This Row],[Total]]/Assuntos_2025[[#Totals],[Total]])</f>
        <v>1.0657982384723558E-3</v>
      </c>
    </row>
    <row r="78" spans="1:8" ht="15" customHeight="1">
      <c r="A78" s="186" t="s">
        <v>412</v>
      </c>
      <c r="B78" s="187">
        <v>0</v>
      </c>
      <c r="C78" s="187">
        <v>0</v>
      </c>
      <c r="D78" s="187">
        <v>0</v>
      </c>
      <c r="E78" s="172">
        <v>1</v>
      </c>
      <c r="F78" s="173">
        <f>SUM(Assuntos_2025[[#This Row],[1° trim 2025]:[4° trim 2025]])</f>
        <v>1</v>
      </c>
      <c r="G78" s="21">
        <f>AVERAGE(Assuntos_2025[[#This Row],[1° trim 2025]:[4° trim 2025]])</f>
        <v>0.25</v>
      </c>
      <c r="H78" s="165">
        <f>(Assuntos_2025[[#This Row],[Total]]/Assuntos_2025[[#Totals],[Total]])</f>
        <v>1.4802753312116054E-5</v>
      </c>
    </row>
    <row r="79" spans="1:8" ht="15" customHeight="1">
      <c r="A79" s="35" t="s">
        <v>127</v>
      </c>
      <c r="B79" s="117">
        <v>35</v>
      </c>
      <c r="C79" s="117">
        <v>23</v>
      </c>
      <c r="D79" s="117">
        <v>36</v>
      </c>
      <c r="E79" s="172">
        <v>23</v>
      </c>
      <c r="F79" s="173">
        <f>SUM(Assuntos_2025[[#This Row],[1° trim 2025]:[4° trim 2025]])</f>
        <v>117</v>
      </c>
      <c r="G79" s="21">
        <f>AVERAGE(Assuntos_2025[[#This Row],[1° trim 2025]:[4° trim 2025]])</f>
        <v>29.25</v>
      </c>
      <c r="H79" s="165">
        <f>(Assuntos_2025[[#This Row],[Total]]/Assuntos_2025[[#Totals],[Total]])</f>
        <v>1.7319221375175784E-3</v>
      </c>
    </row>
    <row r="80" spans="1:8" ht="15" customHeight="1">
      <c r="A80" s="35" t="s">
        <v>128</v>
      </c>
      <c r="B80" s="117">
        <v>202</v>
      </c>
      <c r="C80" s="117">
        <v>308</v>
      </c>
      <c r="D80" s="117">
        <v>247</v>
      </c>
      <c r="E80" s="172">
        <v>414</v>
      </c>
      <c r="F80" s="173">
        <f>SUM(Assuntos_2025[[#This Row],[1° trim 2025]:[4° trim 2025]])</f>
        <v>1171</v>
      </c>
      <c r="G80" s="21">
        <f>AVERAGE(Assuntos_2025[[#This Row],[1° trim 2025]:[4° trim 2025]])</f>
        <v>292.75</v>
      </c>
      <c r="H80" s="165">
        <f>(Assuntos_2025[[#This Row],[Total]]/Assuntos_2025[[#Totals],[Total]])</f>
        <v>1.7334024128487897E-2</v>
      </c>
    </row>
    <row r="81" spans="1:8" ht="15" customHeight="1">
      <c r="A81" s="35" t="s">
        <v>129</v>
      </c>
      <c r="B81" s="117">
        <v>221</v>
      </c>
      <c r="C81" s="117">
        <v>152</v>
      </c>
      <c r="D81" s="117">
        <v>147</v>
      </c>
      <c r="E81" s="172">
        <v>120</v>
      </c>
      <c r="F81" s="173">
        <f>SUM(Assuntos_2025[[#This Row],[1° trim 2025]:[4° trim 2025]])</f>
        <v>640</v>
      </c>
      <c r="G81" s="21">
        <f>AVERAGE(Assuntos_2025[[#This Row],[1° trim 2025]:[4° trim 2025]])</f>
        <v>160</v>
      </c>
      <c r="H81" s="165">
        <f>(Assuntos_2025[[#This Row],[Total]]/Assuntos_2025[[#Totals],[Total]])</f>
        <v>9.4737621197542744E-3</v>
      </c>
    </row>
    <row r="82" spans="1:8" ht="15" customHeight="1">
      <c r="A82" s="35" t="s">
        <v>130</v>
      </c>
      <c r="B82" s="117">
        <v>45</v>
      </c>
      <c r="C82" s="117">
        <v>47</v>
      </c>
      <c r="D82" s="117">
        <v>39</v>
      </c>
      <c r="E82" s="172">
        <v>34</v>
      </c>
      <c r="F82" s="173">
        <f>SUM(Assuntos_2025[[#This Row],[1° trim 2025]:[4° trim 2025]])</f>
        <v>165</v>
      </c>
      <c r="G82" s="21">
        <f>AVERAGE(Assuntos_2025[[#This Row],[1° trim 2025]:[4° trim 2025]])</f>
        <v>41.25</v>
      </c>
      <c r="H82" s="165">
        <f>(Assuntos_2025[[#This Row],[Total]]/Assuntos_2025[[#Totals],[Total]])</f>
        <v>2.4424542964991487E-3</v>
      </c>
    </row>
    <row r="83" spans="1:8" ht="15" customHeight="1">
      <c r="A83" s="35" t="s">
        <v>131</v>
      </c>
      <c r="B83" s="117">
        <v>32</v>
      </c>
      <c r="C83" s="117">
        <v>48</v>
      </c>
      <c r="D83" s="117">
        <v>49</v>
      </c>
      <c r="E83" s="172">
        <v>40</v>
      </c>
      <c r="F83" s="173">
        <f>SUM(Assuntos_2025[[#This Row],[1° trim 2025]:[4° trim 2025]])</f>
        <v>169</v>
      </c>
      <c r="G83" s="21">
        <f>AVERAGE(Assuntos_2025[[#This Row],[1° trim 2025]:[4° trim 2025]])</f>
        <v>42.25</v>
      </c>
      <c r="H83" s="165">
        <f>(Assuntos_2025[[#This Row],[Total]]/Assuntos_2025[[#Totals],[Total]])</f>
        <v>2.5016653097476131E-3</v>
      </c>
    </row>
    <row r="84" spans="1:8" ht="15" customHeight="1">
      <c r="A84" s="35" t="s">
        <v>132</v>
      </c>
      <c r="B84" s="117">
        <v>1</v>
      </c>
      <c r="C84" s="117">
        <v>0</v>
      </c>
      <c r="D84" s="117">
        <v>0</v>
      </c>
      <c r="E84" s="172">
        <v>1</v>
      </c>
      <c r="F84" s="173">
        <f>SUM(Assuntos_2025[[#This Row],[1° trim 2025]:[4° trim 2025]])</f>
        <v>2</v>
      </c>
      <c r="G84" s="21">
        <f>AVERAGE(Assuntos_2025[[#This Row],[1° trim 2025]:[4° trim 2025]])</f>
        <v>0.5</v>
      </c>
      <c r="H84" s="165">
        <f>(Assuntos_2025[[#This Row],[Total]]/Assuntos_2025[[#Totals],[Total]])</f>
        <v>2.9605506624232107E-5</v>
      </c>
    </row>
    <row r="85" spans="1:8" ht="15" customHeight="1">
      <c r="A85" s="35" t="s">
        <v>133</v>
      </c>
      <c r="B85" s="117">
        <v>125</v>
      </c>
      <c r="C85" s="117">
        <v>44</v>
      </c>
      <c r="D85" s="117">
        <v>36</v>
      </c>
      <c r="E85" s="172">
        <v>49</v>
      </c>
      <c r="F85" s="173">
        <f>SUM(Assuntos_2025[[#This Row],[1° trim 2025]:[4° trim 2025]])</f>
        <v>254</v>
      </c>
      <c r="G85" s="21">
        <f>AVERAGE(Assuntos_2025[[#This Row],[1° trim 2025]:[4° trim 2025]])</f>
        <v>63.5</v>
      </c>
      <c r="H85" s="165">
        <f>(Assuntos_2025[[#This Row],[Total]]/Assuntos_2025[[#Totals],[Total]])</f>
        <v>3.7598993412774778E-3</v>
      </c>
    </row>
    <row r="86" spans="1:8" ht="15" customHeight="1">
      <c r="A86" s="35" t="s">
        <v>134</v>
      </c>
      <c r="B86" s="117">
        <v>107</v>
      </c>
      <c r="C86" s="117">
        <v>63</v>
      </c>
      <c r="D86" s="117">
        <v>13</v>
      </c>
      <c r="E86" s="172">
        <v>12</v>
      </c>
      <c r="F86" s="173">
        <f>SUM(Assuntos_2025[[#This Row],[1° trim 2025]:[4° trim 2025]])</f>
        <v>195</v>
      </c>
      <c r="G86" s="21">
        <f>AVERAGE(Assuntos_2025[[#This Row],[1° trim 2025]:[4° trim 2025]])</f>
        <v>48.75</v>
      </c>
      <c r="H86" s="165">
        <f>(Assuntos_2025[[#This Row],[Total]]/Assuntos_2025[[#Totals],[Total]])</f>
        <v>2.8865368958626305E-3</v>
      </c>
    </row>
    <row r="87" spans="1:8" ht="15" customHeight="1">
      <c r="A87" s="35" t="s">
        <v>135</v>
      </c>
      <c r="B87" s="117">
        <v>11</v>
      </c>
      <c r="C87" s="117">
        <v>16</v>
      </c>
      <c r="D87" s="117">
        <v>13</v>
      </c>
      <c r="E87" s="172">
        <v>5</v>
      </c>
      <c r="F87" s="173">
        <f>SUM(Assuntos_2025[[#This Row],[1° trim 2025]:[4° trim 2025]])</f>
        <v>45</v>
      </c>
      <c r="G87" s="21">
        <f>AVERAGE(Assuntos_2025[[#This Row],[1° trim 2025]:[4° trim 2025]])</f>
        <v>11.25</v>
      </c>
      <c r="H87" s="165">
        <f>(Assuntos_2025[[#This Row],[Total]]/Assuntos_2025[[#Totals],[Total]])</f>
        <v>6.661238990452224E-4</v>
      </c>
    </row>
    <row r="88" spans="1:8" ht="15" customHeight="1">
      <c r="A88" s="35" t="s">
        <v>136</v>
      </c>
      <c r="B88" s="117">
        <v>2</v>
      </c>
      <c r="C88" s="117">
        <v>3</v>
      </c>
      <c r="D88" s="117">
        <v>1</v>
      </c>
      <c r="E88" s="172">
        <v>0</v>
      </c>
      <c r="F88" s="173">
        <f>SUM(Assuntos_2025[[#This Row],[1° trim 2025]:[4° trim 2025]])</f>
        <v>6</v>
      </c>
      <c r="G88" s="21">
        <f>AVERAGE(Assuntos_2025[[#This Row],[1° trim 2025]:[4° trim 2025]])</f>
        <v>1.5</v>
      </c>
      <c r="H88" s="165">
        <f>(Assuntos_2025[[#This Row],[Total]]/Assuntos_2025[[#Totals],[Total]])</f>
        <v>8.8816519872696322E-5</v>
      </c>
    </row>
    <row r="89" spans="1:8" ht="15" customHeight="1">
      <c r="A89" s="35" t="s">
        <v>137</v>
      </c>
      <c r="B89" s="117">
        <v>5</v>
      </c>
      <c r="C89" s="117">
        <v>2</v>
      </c>
      <c r="D89" s="117">
        <v>1</v>
      </c>
      <c r="E89" s="172">
        <v>0</v>
      </c>
      <c r="F89" s="173">
        <f>SUM(Assuntos_2025[[#This Row],[1° trim 2025]:[4° trim 2025]])</f>
        <v>8</v>
      </c>
      <c r="G89" s="21">
        <f>AVERAGE(Assuntos_2025[[#This Row],[1° trim 2025]:[4° trim 2025]])</f>
        <v>2</v>
      </c>
      <c r="H89" s="165">
        <f>(Assuntos_2025[[#This Row],[Total]]/Assuntos_2025[[#Totals],[Total]])</f>
        <v>1.1842202649692843E-4</v>
      </c>
    </row>
    <row r="90" spans="1:8" ht="15" customHeight="1">
      <c r="A90" s="35" t="s">
        <v>138</v>
      </c>
      <c r="B90" s="117">
        <v>0</v>
      </c>
      <c r="C90" s="117">
        <v>0</v>
      </c>
      <c r="D90" s="117">
        <v>0</v>
      </c>
      <c r="E90" s="172">
        <v>0</v>
      </c>
      <c r="F90" s="173">
        <f>SUM(Assuntos_2025[[#This Row],[1° trim 2025]:[4° trim 2025]])</f>
        <v>0</v>
      </c>
      <c r="G90" s="21">
        <f>AVERAGE(Assuntos_2025[[#This Row],[1° trim 2025]:[4° trim 2025]])</f>
        <v>0</v>
      </c>
      <c r="H90" s="165">
        <f>(Assuntos_2025[[#This Row],[Total]]/Assuntos_2025[[#Totals],[Total]])</f>
        <v>0</v>
      </c>
    </row>
    <row r="91" spans="1:8" ht="15" customHeight="1">
      <c r="A91" s="35" t="s">
        <v>139</v>
      </c>
      <c r="B91" s="117">
        <v>4</v>
      </c>
      <c r="C91" s="117">
        <v>2</v>
      </c>
      <c r="D91" s="117">
        <v>2</v>
      </c>
      <c r="E91" s="172">
        <v>1</v>
      </c>
      <c r="F91" s="173">
        <f>SUM(Assuntos_2025[[#This Row],[1° trim 2025]:[4° trim 2025]])</f>
        <v>9</v>
      </c>
      <c r="G91" s="21">
        <f>AVERAGE(Assuntos_2025[[#This Row],[1° trim 2025]:[4° trim 2025]])</f>
        <v>2.25</v>
      </c>
      <c r="H91" s="165">
        <f>(Assuntos_2025[[#This Row],[Total]]/Assuntos_2025[[#Totals],[Total]])</f>
        <v>1.3322477980904447E-4</v>
      </c>
    </row>
    <row r="92" spans="1:8" ht="15" customHeight="1">
      <c r="A92" s="35" t="s">
        <v>140</v>
      </c>
      <c r="B92" s="117">
        <v>0</v>
      </c>
      <c r="C92" s="117">
        <v>0</v>
      </c>
      <c r="D92" s="117">
        <v>1</v>
      </c>
      <c r="E92" s="172">
        <v>1</v>
      </c>
      <c r="F92" s="173">
        <f>SUM(Assuntos_2025[[#This Row],[1° trim 2025]:[4° trim 2025]])</f>
        <v>2</v>
      </c>
      <c r="G92" s="21">
        <f>AVERAGE(Assuntos_2025[[#This Row],[1° trim 2025]:[4° trim 2025]])</f>
        <v>0.5</v>
      </c>
      <c r="H92" s="165">
        <f>(Assuntos_2025[[#This Row],[Total]]/Assuntos_2025[[#Totals],[Total]])</f>
        <v>2.9605506624232107E-5</v>
      </c>
    </row>
    <row r="93" spans="1:8" ht="15" customHeight="1">
      <c r="A93" s="35" t="s">
        <v>141</v>
      </c>
      <c r="B93" s="117">
        <v>0</v>
      </c>
      <c r="C93" s="117">
        <v>0</v>
      </c>
      <c r="D93" s="117">
        <v>1</v>
      </c>
      <c r="E93" s="172">
        <v>0</v>
      </c>
      <c r="F93" s="173">
        <f>SUM(Assuntos_2025[[#This Row],[1° trim 2025]:[4° trim 2025]])</f>
        <v>1</v>
      </c>
      <c r="G93" s="21">
        <f>AVERAGE(Assuntos_2025[[#This Row],[1° trim 2025]:[4° trim 2025]])</f>
        <v>0.25</v>
      </c>
      <c r="H93" s="165">
        <f>(Assuntos_2025[[#This Row],[Total]]/Assuntos_2025[[#Totals],[Total]])</f>
        <v>1.4802753312116054E-5</v>
      </c>
    </row>
    <row r="94" spans="1:8" ht="15" customHeight="1">
      <c r="A94" s="35" t="s">
        <v>142</v>
      </c>
      <c r="B94" s="117">
        <v>3</v>
      </c>
      <c r="C94" s="117">
        <v>5</v>
      </c>
      <c r="D94" s="117">
        <v>14</v>
      </c>
      <c r="E94" s="172">
        <v>1</v>
      </c>
      <c r="F94" s="173">
        <f>SUM(Assuntos_2025[[#This Row],[1° trim 2025]:[4° trim 2025]])</f>
        <v>23</v>
      </c>
      <c r="G94" s="21">
        <f>AVERAGE(Assuntos_2025[[#This Row],[1° trim 2025]:[4° trim 2025]])</f>
        <v>5.75</v>
      </c>
      <c r="H94" s="165">
        <f>(Assuntos_2025[[#This Row],[Total]]/Assuntos_2025[[#Totals],[Total]])</f>
        <v>3.4046332617866925E-4</v>
      </c>
    </row>
    <row r="95" spans="1:8" ht="15" customHeight="1">
      <c r="A95" s="186" t="s">
        <v>413</v>
      </c>
      <c r="B95" s="187">
        <v>0</v>
      </c>
      <c r="C95" s="187">
        <v>0</v>
      </c>
      <c r="D95" s="187">
        <v>0</v>
      </c>
      <c r="E95" s="172">
        <v>1</v>
      </c>
      <c r="F95" s="173">
        <f>SUM(Assuntos_2025[[#This Row],[1° trim 2025]:[4° trim 2025]])</f>
        <v>1</v>
      </c>
      <c r="G95" s="21">
        <f>AVERAGE(Assuntos_2025[[#This Row],[1° trim 2025]:[4° trim 2025]])</f>
        <v>0.25</v>
      </c>
      <c r="H95" s="165">
        <f>(Assuntos_2025[[#This Row],[Total]]/Assuntos_2025[[#Totals],[Total]])</f>
        <v>1.4802753312116054E-5</v>
      </c>
    </row>
    <row r="96" spans="1:8" ht="15" customHeight="1">
      <c r="A96" s="35" t="s">
        <v>143</v>
      </c>
      <c r="B96" s="117">
        <v>0</v>
      </c>
      <c r="C96" s="117">
        <v>0</v>
      </c>
      <c r="D96" s="117">
        <v>1</v>
      </c>
      <c r="E96" s="172">
        <v>1</v>
      </c>
      <c r="F96" s="173">
        <f>SUM(Assuntos_2025[[#This Row],[1° trim 2025]:[4° trim 2025]])</f>
        <v>2</v>
      </c>
      <c r="G96" s="21">
        <f>AVERAGE(Assuntos_2025[[#This Row],[1° trim 2025]:[4° trim 2025]])</f>
        <v>0.5</v>
      </c>
      <c r="H96" s="165">
        <f>(Assuntos_2025[[#This Row],[Total]]/Assuntos_2025[[#Totals],[Total]])</f>
        <v>2.9605506624232107E-5</v>
      </c>
    </row>
    <row r="97" spans="1:8" ht="15" customHeight="1">
      <c r="A97" s="35" t="s">
        <v>144</v>
      </c>
      <c r="B97" s="117">
        <v>0</v>
      </c>
      <c r="C97" s="117">
        <v>1</v>
      </c>
      <c r="D97" s="117">
        <v>1</v>
      </c>
      <c r="E97" s="172">
        <v>1</v>
      </c>
      <c r="F97" s="173">
        <f>SUM(Assuntos_2025[[#This Row],[1° trim 2025]:[4° trim 2025]])</f>
        <v>3</v>
      </c>
      <c r="G97" s="21">
        <f>AVERAGE(Assuntos_2025[[#This Row],[1° trim 2025]:[4° trim 2025]])</f>
        <v>0.75</v>
      </c>
      <c r="H97" s="165">
        <f>(Assuntos_2025[[#This Row],[Total]]/Assuntos_2025[[#Totals],[Total]])</f>
        <v>4.4408259936348161E-5</v>
      </c>
    </row>
    <row r="98" spans="1:8" ht="15" customHeight="1">
      <c r="A98" s="35" t="s">
        <v>145</v>
      </c>
      <c r="B98" s="117">
        <v>0</v>
      </c>
      <c r="C98" s="117">
        <v>0</v>
      </c>
      <c r="D98" s="117">
        <v>0</v>
      </c>
      <c r="E98" s="172">
        <v>1</v>
      </c>
      <c r="F98" s="173">
        <f>SUM(Assuntos_2025[[#This Row],[1° trim 2025]:[4° trim 2025]])</f>
        <v>1</v>
      </c>
      <c r="G98" s="21">
        <f>AVERAGE(Assuntos_2025[[#This Row],[1° trim 2025]:[4° trim 2025]])</f>
        <v>0.25</v>
      </c>
      <c r="H98" s="165">
        <f>(Assuntos_2025[[#This Row],[Total]]/Assuntos_2025[[#Totals],[Total]])</f>
        <v>1.4802753312116054E-5</v>
      </c>
    </row>
    <row r="99" spans="1:8" ht="15" customHeight="1">
      <c r="A99" s="35" t="s">
        <v>146</v>
      </c>
      <c r="B99" s="117">
        <v>1</v>
      </c>
      <c r="C99" s="117">
        <v>1</v>
      </c>
      <c r="D99" s="117">
        <v>0</v>
      </c>
      <c r="E99" s="172">
        <v>0</v>
      </c>
      <c r="F99" s="173">
        <f>SUM(Assuntos_2025[[#This Row],[1° trim 2025]:[4° trim 2025]])</f>
        <v>2</v>
      </c>
      <c r="G99" s="21">
        <f>AVERAGE(Assuntos_2025[[#This Row],[1° trim 2025]:[4° trim 2025]])</f>
        <v>0.5</v>
      </c>
      <c r="H99" s="165">
        <f>(Assuntos_2025[[#This Row],[Total]]/Assuntos_2025[[#Totals],[Total]])</f>
        <v>2.9605506624232107E-5</v>
      </c>
    </row>
    <row r="100" spans="1:8" ht="15" customHeight="1">
      <c r="A100" s="35" t="s">
        <v>147</v>
      </c>
      <c r="B100" s="117">
        <v>3</v>
      </c>
      <c r="C100" s="117">
        <v>1</v>
      </c>
      <c r="D100" s="117">
        <v>2</v>
      </c>
      <c r="E100" s="172">
        <v>1</v>
      </c>
      <c r="F100" s="173">
        <f>SUM(Assuntos_2025[[#This Row],[1° trim 2025]:[4° trim 2025]])</f>
        <v>7</v>
      </c>
      <c r="G100" s="21">
        <f>AVERAGE(Assuntos_2025[[#This Row],[1° trim 2025]:[4° trim 2025]])</f>
        <v>1.75</v>
      </c>
      <c r="H100" s="165">
        <f>(Assuntos_2025[[#This Row],[Total]]/Assuntos_2025[[#Totals],[Total]])</f>
        <v>1.0361927318481238E-4</v>
      </c>
    </row>
    <row r="101" spans="1:8" ht="15" customHeight="1">
      <c r="A101" s="35" t="s">
        <v>148</v>
      </c>
      <c r="B101" s="117">
        <v>0</v>
      </c>
      <c r="C101" s="117">
        <v>1</v>
      </c>
      <c r="D101" s="117">
        <v>0</v>
      </c>
      <c r="E101" s="172">
        <v>0</v>
      </c>
      <c r="F101" s="173">
        <f>SUM(Assuntos_2025[[#This Row],[1° trim 2025]:[4° trim 2025]])</f>
        <v>1</v>
      </c>
      <c r="G101" s="21">
        <f>AVERAGE(Assuntos_2025[[#This Row],[1° trim 2025]:[4° trim 2025]])</f>
        <v>0.25</v>
      </c>
      <c r="H101" s="165">
        <f>(Assuntos_2025[[#This Row],[Total]]/Assuntos_2025[[#Totals],[Total]])</f>
        <v>1.4802753312116054E-5</v>
      </c>
    </row>
    <row r="102" spans="1:8" ht="15" customHeight="1">
      <c r="A102" s="35" t="s">
        <v>149</v>
      </c>
      <c r="B102" s="117">
        <v>1</v>
      </c>
      <c r="C102" s="117">
        <v>0</v>
      </c>
      <c r="D102" s="117">
        <v>1</v>
      </c>
      <c r="E102" s="172">
        <v>0</v>
      </c>
      <c r="F102" s="173">
        <f>SUM(Assuntos_2025[[#This Row],[1° trim 2025]:[4° trim 2025]])</f>
        <v>2</v>
      </c>
      <c r="G102" s="21">
        <f>AVERAGE(Assuntos_2025[[#This Row],[1° trim 2025]:[4° trim 2025]])</f>
        <v>0.5</v>
      </c>
      <c r="H102" s="165">
        <f>(Assuntos_2025[[#This Row],[Total]]/Assuntos_2025[[#Totals],[Total]])</f>
        <v>2.9605506624232107E-5</v>
      </c>
    </row>
    <row r="103" spans="1:8" ht="15" customHeight="1">
      <c r="A103" s="35" t="s">
        <v>150</v>
      </c>
      <c r="B103" s="117">
        <v>2</v>
      </c>
      <c r="C103" s="117">
        <v>1</v>
      </c>
      <c r="D103" s="117">
        <v>0</v>
      </c>
      <c r="E103" s="172">
        <v>1</v>
      </c>
      <c r="F103" s="173">
        <f>SUM(Assuntos_2025[[#This Row],[1° trim 2025]:[4° trim 2025]])</f>
        <v>4</v>
      </c>
      <c r="G103" s="21">
        <f>AVERAGE(Assuntos_2025[[#This Row],[1° trim 2025]:[4° trim 2025]])</f>
        <v>1</v>
      </c>
      <c r="H103" s="165">
        <f>(Assuntos_2025[[#This Row],[Total]]/Assuntos_2025[[#Totals],[Total]])</f>
        <v>5.9211013248464215E-5</v>
      </c>
    </row>
    <row r="104" spans="1:8" ht="15" customHeight="1">
      <c r="A104" s="35" t="s">
        <v>151</v>
      </c>
      <c r="B104" s="117">
        <v>0</v>
      </c>
      <c r="C104" s="117">
        <v>2</v>
      </c>
      <c r="D104" s="117">
        <v>0</v>
      </c>
      <c r="E104" s="172">
        <v>2</v>
      </c>
      <c r="F104" s="173">
        <f>SUM(Assuntos_2025[[#This Row],[1° trim 2025]:[4° trim 2025]])</f>
        <v>4</v>
      </c>
      <c r="G104" s="21">
        <f>AVERAGE(Assuntos_2025[[#This Row],[1° trim 2025]:[4° trim 2025]])</f>
        <v>1</v>
      </c>
      <c r="H104" s="165">
        <f>(Assuntos_2025[[#This Row],[Total]]/Assuntos_2025[[#Totals],[Total]])</f>
        <v>5.9211013248464215E-5</v>
      </c>
    </row>
    <row r="105" spans="1:8" ht="15" customHeight="1">
      <c r="A105" s="43" t="s">
        <v>152</v>
      </c>
      <c r="B105" s="117">
        <v>1</v>
      </c>
      <c r="C105" s="117">
        <v>0</v>
      </c>
      <c r="D105" s="117">
        <v>0</v>
      </c>
      <c r="E105" s="172">
        <v>0</v>
      </c>
      <c r="F105" s="173">
        <f>SUM(Assuntos_2025[[#This Row],[1° trim 2025]:[4° trim 2025]])</f>
        <v>1</v>
      </c>
      <c r="G105" s="21">
        <f>AVERAGE(Assuntos_2025[[#This Row],[1° trim 2025]:[4° trim 2025]])</f>
        <v>0.25</v>
      </c>
      <c r="H105" s="165">
        <f>(Assuntos_2025[[#This Row],[Total]]/Assuntos_2025[[#Totals],[Total]])</f>
        <v>1.4802753312116054E-5</v>
      </c>
    </row>
    <row r="106" spans="1:8" ht="15" customHeight="1">
      <c r="A106" s="43" t="s">
        <v>153</v>
      </c>
      <c r="B106" s="117">
        <v>4</v>
      </c>
      <c r="C106" s="117">
        <v>0</v>
      </c>
      <c r="D106" s="117">
        <v>1</v>
      </c>
      <c r="E106" s="172">
        <v>1</v>
      </c>
      <c r="F106" s="173">
        <f>SUM(Assuntos_2025[[#This Row],[1° trim 2025]:[4° trim 2025]])</f>
        <v>6</v>
      </c>
      <c r="G106" s="21">
        <f>AVERAGE(Assuntos_2025[[#This Row],[1° trim 2025]:[4° trim 2025]])</f>
        <v>1.5</v>
      </c>
      <c r="H106" s="165">
        <f>(Assuntos_2025[[#This Row],[Total]]/Assuntos_2025[[#Totals],[Total]])</f>
        <v>8.8816519872696322E-5</v>
      </c>
    </row>
    <row r="107" spans="1:8" ht="15" customHeight="1">
      <c r="A107" s="43" t="s">
        <v>154</v>
      </c>
      <c r="B107" s="117">
        <v>1</v>
      </c>
      <c r="C107" s="117">
        <v>0</v>
      </c>
      <c r="D107" s="117">
        <v>0</v>
      </c>
      <c r="E107" s="172">
        <v>0</v>
      </c>
      <c r="F107" s="173">
        <f>SUM(Assuntos_2025[[#This Row],[1° trim 2025]:[4° trim 2025]])</f>
        <v>1</v>
      </c>
      <c r="G107" s="21">
        <f>AVERAGE(Assuntos_2025[[#This Row],[1° trim 2025]:[4° trim 2025]])</f>
        <v>0.25</v>
      </c>
      <c r="H107" s="165">
        <f>(Assuntos_2025[[#This Row],[Total]]/Assuntos_2025[[#Totals],[Total]])</f>
        <v>1.4802753312116054E-5</v>
      </c>
    </row>
    <row r="108" spans="1:8" ht="15" customHeight="1">
      <c r="A108" s="43" t="s">
        <v>155</v>
      </c>
      <c r="B108" s="117">
        <v>1</v>
      </c>
      <c r="C108" s="117">
        <v>1</v>
      </c>
      <c r="D108" s="117">
        <v>0</v>
      </c>
      <c r="E108" s="172">
        <v>1</v>
      </c>
      <c r="F108" s="173">
        <f>SUM(Assuntos_2025[[#This Row],[1° trim 2025]:[4° trim 2025]])</f>
        <v>3</v>
      </c>
      <c r="G108" s="21">
        <f>AVERAGE(Assuntos_2025[[#This Row],[1° trim 2025]:[4° trim 2025]])</f>
        <v>0.75</v>
      </c>
      <c r="H108" s="165">
        <f>(Assuntos_2025[[#This Row],[Total]]/Assuntos_2025[[#Totals],[Total]])</f>
        <v>4.4408259936348161E-5</v>
      </c>
    </row>
    <row r="109" spans="1:8" ht="15" customHeight="1">
      <c r="A109" s="35" t="s">
        <v>156</v>
      </c>
      <c r="B109" s="117">
        <v>4</v>
      </c>
      <c r="C109" s="117">
        <v>1</v>
      </c>
      <c r="D109" s="117">
        <v>0</v>
      </c>
      <c r="E109" s="172">
        <v>1</v>
      </c>
      <c r="F109" s="173">
        <f>SUM(Assuntos_2025[[#This Row],[1° trim 2025]:[4° trim 2025]])</f>
        <v>6</v>
      </c>
      <c r="G109" s="21">
        <f>AVERAGE(Assuntos_2025[[#This Row],[1° trim 2025]:[4° trim 2025]])</f>
        <v>1.5</v>
      </c>
      <c r="H109" s="165">
        <f>(Assuntos_2025[[#This Row],[Total]]/Assuntos_2025[[#Totals],[Total]])</f>
        <v>8.8816519872696322E-5</v>
      </c>
    </row>
    <row r="110" spans="1:8" ht="15" customHeight="1">
      <c r="A110" s="35" t="s">
        <v>157</v>
      </c>
      <c r="B110" s="117">
        <v>0</v>
      </c>
      <c r="C110" s="117">
        <v>0</v>
      </c>
      <c r="D110" s="117">
        <v>2</v>
      </c>
      <c r="E110" s="172">
        <v>0</v>
      </c>
      <c r="F110" s="173">
        <f>SUM(Assuntos_2025[[#This Row],[1° trim 2025]:[4° trim 2025]])</f>
        <v>2</v>
      </c>
      <c r="G110" s="21">
        <f>AVERAGE(Assuntos_2025[[#This Row],[1° trim 2025]:[4° trim 2025]])</f>
        <v>0.5</v>
      </c>
      <c r="H110" s="165">
        <f>(Assuntos_2025[[#This Row],[Total]]/Assuntos_2025[[#Totals],[Total]])</f>
        <v>2.9605506624232107E-5</v>
      </c>
    </row>
    <row r="111" spans="1:8" ht="15" customHeight="1">
      <c r="A111" s="35" t="s">
        <v>158</v>
      </c>
      <c r="B111" s="117">
        <v>0</v>
      </c>
      <c r="C111" s="117">
        <v>0</v>
      </c>
      <c r="D111" s="117">
        <v>0</v>
      </c>
      <c r="E111" s="172">
        <v>0</v>
      </c>
      <c r="F111" s="173">
        <f>SUM(Assuntos_2025[[#This Row],[1° trim 2025]:[4° trim 2025]])</f>
        <v>0</v>
      </c>
      <c r="G111" s="21">
        <f>AVERAGE(Assuntos_2025[[#This Row],[1° trim 2025]:[4° trim 2025]])</f>
        <v>0</v>
      </c>
      <c r="H111" s="165">
        <f>(Assuntos_2025[[#This Row],[Total]]/Assuntos_2025[[#Totals],[Total]])</f>
        <v>0</v>
      </c>
    </row>
    <row r="112" spans="1:8" ht="15" customHeight="1">
      <c r="A112" s="35" t="s">
        <v>159</v>
      </c>
      <c r="B112" s="117">
        <v>1</v>
      </c>
      <c r="C112" s="117">
        <v>0</v>
      </c>
      <c r="D112" s="117">
        <v>0</v>
      </c>
      <c r="E112" s="172">
        <v>1</v>
      </c>
      <c r="F112" s="173">
        <f>SUM(Assuntos_2025[[#This Row],[1° trim 2025]:[4° trim 2025]])</f>
        <v>2</v>
      </c>
      <c r="G112" s="21">
        <f>AVERAGE(Assuntos_2025[[#This Row],[1° trim 2025]:[4° trim 2025]])</f>
        <v>0.5</v>
      </c>
      <c r="H112" s="165">
        <f>(Assuntos_2025[[#This Row],[Total]]/Assuntos_2025[[#Totals],[Total]])</f>
        <v>2.9605506624232107E-5</v>
      </c>
    </row>
    <row r="113" spans="1:8" ht="15" customHeight="1">
      <c r="A113" s="35" t="s">
        <v>160</v>
      </c>
      <c r="B113" s="117">
        <v>1</v>
      </c>
      <c r="C113" s="117">
        <v>0</v>
      </c>
      <c r="D113" s="117">
        <v>0</v>
      </c>
      <c r="E113" s="172">
        <v>0</v>
      </c>
      <c r="F113" s="173">
        <f>SUM(Assuntos_2025[[#This Row],[1° trim 2025]:[4° trim 2025]])</f>
        <v>1</v>
      </c>
      <c r="G113" s="21">
        <f>AVERAGE(Assuntos_2025[[#This Row],[1° trim 2025]:[4° trim 2025]])</f>
        <v>0.25</v>
      </c>
      <c r="H113" s="165">
        <f>(Assuntos_2025[[#This Row],[Total]]/Assuntos_2025[[#Totals],[Total]])</f>
        <v>1.4802753312116054E-5</v>
      </c>
    </row>
    <row r="114" spans="1:8" ht="15" customHeight="1">
      <c r="A114" s="35" t="s">
        <v>161</v>
      </c>
      <c r="B114" s="117">
        <v>1</v>
      </c>
      <c r="C114" s="117">
        <v>0</v>
      </c>
      <c r="D114" s="117">
        <v>0</v>
      </c>
      <c r="E114" s="172">
        <v>0</v>
      </c>
      <c r="F114" s="173">
        <f>SUM(Assuntos_2025[[#This Row],[1° trim 2025]:[4° trim 2025]])</f>
        <v>1</v>
      </c>
      <c r="G114" s="21">
        <f>AVERAGE(Assuntos_2025[[#This Row],[1° trim 2025]:[4° trim 2025]])</f>
        <v>0.25</v>
      </c>
      <c r="H114" s="165">
        <f>(Assuntos_2025[[#This Row],[Total]]/Assuntos_2025[[#Totals],[Total]])</f>
        <v>1.4802753312116054E-5</v>
      </c>
    </row>
    <row r="115" spans="1:8" ht="15" customHeight="1">
      <c r="A115" s="35" t="s">
        <v>162</v>
      </c>
      <c r="B115" s="117">
        <v>1</v>
      </c>
      <c r="C115" s="117">
        <v>0</v>
      </c>
      <c r="D115" s="117">
        <v>0</v>
      </c>
      <c r="E115" s="172">
        <v>0</v>
      </c>
      <c r="F115" s="173">
        <f>SUM(Assuntos_2025[[#This Row],[1° trim 2025]:[4° trim 2025]])</f>
        <v>1</v>
      </c>
      <c r="G115" s="21">
        <f>AVERAGE(Assuntos_2025[[#This Row],[1° trim 2025]:[4° trim 2025]])</f>
        <v>0.25</v>
      </c>
      <c r="H115" s="165">
        <f>(Assuntos_2025[[#This Row],[Total]]/Assuntos_2025[[#Totals],[Total]])</f>
        <v>1.4802753312116054E-5</v>
      </c>
    </row>
    <row r="116" spans="1:8" ht="15" customHeight="1">
      <c r="A116" s="35" t="s">
        <v>163</v>
      </c>
      <c r="B116" s="117">
        <v>0</v>
      </c>
      <c r="C116" s="117">
        <v>0</v>
      </c>
      <c r="D116" s="117">
        <v>1</v>
      </c>
      <c r="E116" s="172">
        <v>1</v>
      </c>
      <c r="F116" s="173">
        <f>SUM(Assuntos_2025[[#This Row],[1° trim 2025]:[4° trim 2025]])</f>
        <v>2</v>
      </c>
      <c r="G116" s="21">
        <f>AVERAGE(Assuntos_2025[[#This Row],[1° trim 2025]:[4° trim 2025]])</f>
        <v>0.5</v>
      </c>
      <c r="H116" s="165">
        <f>(Assuntos_2025[[#This Row],[Total]]/Assuntos_2025[[#Totals],[Total]])</f>
        <v>2.9605506624232107E-5</v>
      </c>
    </row>
    <row r="117" spans="1:8" ht="15" customHeight="1">
      <c r="A117" s="35" t="s">
        <v>164</v>
      </c>
      <c r="B117" s="117">
        <v>0</v>
      </c>
      <c r="C117" s="117">
        <v>0</v>
      </c>
      <c r="D117" s="117">
        <v>2</v>
      </c>
      <c r="E117" s="172">
        <v>0</v>
      </c>
      <c r="F117" s="173">
        <f>SUM(Assuntos_2025[[#This Row],[1° trim 2025]:[4° trim 2025]])</f>
        <v>2</v>
      </c>
      <c r="G117" s="21">
        <f>AVERAGE(Assuntos_2025[[#This Row],[1° trim 2025]:[4° trim 2025]])</f>
        <v>0.5</v>
      </c>
      <c r="H117" s="165">
        <f>(Assuntos_2025[[#This Row],[Total]]/Assuntos_2025[[#Totals],[Total]])</f>
        <v>2.9605506624232107E-5</v>
      </c>
    </row>
    <row r="118" spans="1:8" ht="15" customHeight="1">
      <c r="A118" s="35" t="s">
        <v>165</v>
      </c>
      <c r="B118" s="117">
        <v>81</v>
      </c>
      <c r="C118" s="117">
        <v>50</v>
      </c>
      <c r="D118" s="117">
        <v>102</v>
      </c>
      <c r="E118" s="172">
        <v>63</v>
      </c>
      <c r="F118" s="173">
        <f>SUM(Assuntos_2025[[#This Row],[1° trim 2025]:[4° trim 2025]])</f>
        <v>296</v>
      </c>
      <c r="G118" s="21">
        <f>AVERAGE(Assuntos_2025[[#This Row],[1° trim 2025]:[4° trim 2025]])</f>
        <v>74</v>
      </c>
      <c r="H118" s="165">
        <f>(Assuntos_2025[[#This Row],[Total]]/Assuntos_2025[[#Totals],[Total]])</f>
        <v>4.3816149803863518E-3</v>
      </c>
    </row>
    <row r="119" spans="1:8" ht="15" customHeight="1">
      <c r="A119" s="35" t="s">
        <v>166</v>
      </c>
      <c r="B119" s="117">
        <v>125</v>
      </c>
      <c r="C119" s="117">
        <v>132</v>
      </c>
      <c r="D119" s="117">
        <v>127</v>
      </c>
      <c r="E119" s="172">
        <v>143</v>
      </c>
      <c r="F119" s="173">
        <f>SUM(Assuntos_2025[[#This Row],[1° trim 2025]:[4° trim 2025]])</f>
        <v>527</v>
      </c>
      <c r="G119" s="21">
        <f>AVERAGE(Assuntos_2025[[#This Row],[1° trim 2025]:[4° trim 2025]])</f>
        <v>131.75</v>
      </c>
      <c r="H119" s="165">
        <f>(Assuntos_2025[[#This Row],[Total]]/Assuntos_2025[[#Totals],[Total]])</f>
        <v>7.8010509954851599E-3</v>
      </c>
    </row>
    <row r="120" spans="1:8" ht="15" customHeight="1">
      <c r="A120" s="35" t="s">
        <v>167</v>
      </c>
      <c r="B120" s="117">
        <v>9</v>
      </c>
      <c r="C120" s="117">
        <v>13</v>
      </c>
      <c r="D120" s="117">
        <v>5</v>
      </c>
      <c r="E120" s="172">
        <v>9</v>
      </c>
      <c r="F120" s="173">
        <f>SUM(Assuntos_2025[[#This Row],[1° trim 2025]:[4° trim 2025]])</f>
        <v>36</v>
      </c>
      <c r="G120" s="21">
        <f>AVERAGE(Assuntos_2025[[#This Row],[1° trim 2025]:[4° trim 2025]])</f>
        <v>9</v>
      </c>
      <c r="H120" s="165">
        <f>(Assuntos_2025[[#This Row],[Total]]/Assuntos_2025[[#Totals],[Total]])</f>
        <v>5.3289911923617788E-4</v>
      </c>
    </row>
    <row r="121" spans="1:8" ht="15" customHeight="1">
      <c r="A121" s="43" t="s">
        <v>168</v>
      </c>
      <c r="B121" s="117">
        <v>15</v>
      </c>
      <c r="C121" s="117">
        <v>13</v>
      </c>
      <c r="D121" s="117">
        <v>18</v>
      </c>
      <c r="E121" s="172">
        <v>23</v>
      </c>
      <c r="F121" s="173">
        <f>SUM(Assuntos_2025[[#This Row],[1° trim 2025]:[4° trim 2025]])</f>
        <v>69</v>
      </c>
      <c r="G121" s="21">
        <f>AVERAGE(Assuntos_2025[[#This Row],[1° trim 2025]:[4° trim 2025]])</f>
        <v>17.25</v>
      </c>
      <c r="H121" s="165">
        <f>(Assuntos_2025[[#This Row],[Total]]/Assuntos_2025[[#Totals],[Total]])</f>
        <v>1.0213899785360078E-3</v>
      </c>
    </row>
    <row r="122" spans="1:8" ht="15" customHeight="1">
      <c r="A122" s="35" t="s">
        <v>169</v>
      </c>
      <c r="B122" s="117">
        <v>7</v>
      </c>
      <c r="C122" s="117">
        <v>2</v>
      </c>
      <c r="D122" s="117">
        <v>6</v>
      </c>
      <c r="E122" s="172">
        <v>3</v>
      </c>
      <c r="F122" s="173">
        <f>SUM(Assuntos_2025[[#This Row],[1° trim 2025]:[4° trim 2025]])</f>
        <v>18</v>
      </c>
      <c r="G122" s="21">
        <f>AVERAGE(Assuntos_2025[[#This Row],[1° trim 2025]:[4° trim 2025]])</f>
        <v>4.5</v>
      </c>
      <c r="H122" s="165">
        <f>(Assuntos_2025[[#This Row],[Total]]/Assuntos_2025[[#Totals],[Total]])</f>
        <v>2.6644955961808894E-4</v>
      </c>
    </row>
    <row r="123" spans="1:8" ht="15" customHeight="1">
      <c r="A123" s="35" t="s">
        <v>170</v>
      </c>
      <c r="B123" s="117">
        <v>405</v>
      </c>
      <c r="C123" s="117">
        <v>282</v>
      </c>
      <c r="D123" s="117">
        <v>230</v>
      </c>
      <c r="E123" s="172">
        <v>287</v>
      </c>
      <c r="F123" s="173">
        <f>SUM(Assuntos_2025[[#This Row],[1° trim 2025]:[4° trim 2025]])</f>
        <v>1204</v>
      </c>
      <c r="G123" s="21">
        <f>AVERAGE(Assuntos_2025[[#This Row],[1° trim 2025]:[4° trim 2025]])</f>
        <v>301</v>
      </c>
      <c r="H123" s="165">
        <f>(Assuntos_2025[[#This Row],[Total]]/Assuntos_2025[[#Totals],[Total]])</f>
        <v>1.7822514987787728E-2</v>
      </c>
    </row>
    <row r="124" spans="1:8" ht="15" customHeight="1">
      <c r="A124" s="43" t="s">
        <v>171</v>
      </c>
      <c r="B124" s="117">
        <v>26</v>
      </c>
      <c r="C124" s="117">
        <v>17</v>
      </c>
      <c r="D124" s="117">
        <v>12</v>
      </c>
      <c r="E124" s="172">
        <v>8</v>
      </c>
      <c r="F124" s="173">
        <f>SUM(Assuntos_2025[[#This Row],[1° trim 2025]:[4° trim 2025]])</f>
        <v>63</v>
      </c>
      <c r="G124" s="21">
        <f>AVERAGE(Assuntos_2025[[#This Row],[1° trim 2025]:[4° trim 2025]])</f>
        <v>15.75</v>
      </c>
      <c r="H124" s="165">
        <f>(Assuntos_2025[[#This Row],[Total]]/Assuntos_2025[[#Totals],[Total]])</f>
        <v>9.3257345866331134E-4</v>
      </c>
    </row>
    <row r="125" spans="1:8" ht="15" customHeight="1">
      <c r="A125" s="43" t="s">
        <v>172</v>
      </c>
      <c r="B125" s="117">
        <v>0</v>
      </c>
      <c r="C125" s="117">
        <v>0</v>
      </c>
      <c r="D125" s="117">
        <v>0</v>
      </c>
      <c r="E125" s="172">
        <v>0</v>
      </c>
      <c r="F125" s="173">
        <f>SUM(Assuntos_2025[[#This Row],[1° trim 2025]:[4° trim 2025]])</f>
        <v>0</v>
      </c>
      <c r="G125" s="21">
        <f>AVERAGE(Assuntos_2025[[#This Row],[1° trim 2025]:[4° trim 2025]])</f>
        <v>0</v>
      </c>
      <c r="H125" s="165">
        <f>(Assuntos_2025[[#This Row],[Total]]/Assuntos_2025[[#Totals],[Total]])</f>
        <v>0</v>
      </c>
    </row>
    <row r="126" spans="1:8" ht="15" customHeight="1">
      <c r="A126" s="35" t="s">
        <v>19</v>
      </c>
      <c r="B126" s="117">
        <v>275</v>
      </c>
      <c r="C126" s="117">
        <v>247</v>
      </c>
      <c r="D126" s="117">
        <v>243</v>
      </c>
      <c r="E126" s="172">
        <v>290</v>
      </c>
      <c r="F126" s="173">
        <f>SUM(Assuntos_2025[[#This Row],[1° trim 2025]:[4° trim 2025]])</f>
        <v>1055</v>
      </c>
      <c r="G126" s="21">
        <f>AVERAGE(Assuntos_2025[[#This Row],[1° trim 2025]:[4° trim 2025]])</f>
        <v>263.75</v>
      </c>
      <c r="H126" s="165">
        <f>(Assuntos_2025[[#This Row],[Total]]/Assuntos_2025[[#Totals],[Total]])</f>
        <v>1.5616904744282437E-2</v>
      </c>
    </row>
    <row r="127" spans="1:8" ht="15" customHeight="1">
      <c r="A127" s="35" t="s">
        <v>173</v>
      </c>
      <c r="B127" s="117">
        <v>1</v>
      </c>
      <c r="C127" s="117">
        <v>2</v>
      </c>
      <c r="D127" s="117">
        <v>2</v>
      </c>
      <c r="E127" s="172">
        <v>1</v>
      </c>
      <c r="F127" s="173">
        <f>SUM(Assuntos_2025[[#This Row],[1° trim 2025]:[4° trim 2025]])</f>
        <v>6</v>
      </c>
      <c r="G127" s="21">
        <f>AVERAGE(Assuntos_2025[[#This Row],[1° trim 2025]:[4° trim 2025]])</f>
        <v>1.5</v>
      </c>
      <c r="H127" s="165">
        <f>(Assuntos_2025[[#This Row],[Total]]/Assuntos_2025[[#Totals],[Total]])</f>
        <v>8.8816519872696322E-5</v>
      </c>
    </row>
    <row r="128" spans="1:8" ht="15" customHeight="1">
      <c r="A128" s="35" t="s">
        <v>174</v>
      </c>
      <c r="B128" s="117">
        <v>1</v>
      </c>
      <c r="C128" s="117">
        <v>0</v>
      </c>
      <c r="D128" s="117">
        <v>0</v>
      </c>
      <c r="E128" s="172">
        <v>0</v>
      </c>
      <c r="F128" s="173">
        <f>SUM(Assuntos_2025[[#This Row],[1° trim 2025]:[4° trim 2025]])</f>
        <v>1</v>
      </c>
      <c r="G128" s="21">
        <f>AVERAGE(Assuntos_2025[[#This Row],[1° trim 2025]:[4° trim 2025]])</f>
        <v>0.25</v>
      </c>
      <c r="H128" s="165">
        <f>(Assuntos_2025[[#This Row],[Total]]/Assuntos_2025[[#Totals],[Total]])</f>
        <v>1.4802753312116054E-5</v>
      </c>
    </row>
    <row r="129" spans="1:8" ht="15" customHeight="1">
      <c r="A129" s="35" t="s">
        <v>175</v>
      </c>
      <c r="B129" s="117">
        <v>1</v>
      </c>
      <c r="C129" s="117">
        <v>1</v>
      </c>
      <c r="D129" s="117">
        <v>1</v>
      </c>
      <c r="E129" s="172">
        <v>0</v>
      </c>
      <c r="F129" s="173">
        <f>SUM(Assuntos_2025[[#This Row],[1° trim 2025]:[4° trim 2025]])</f>
        <v>3</v>
      </c>
      <c r="G129" s="21">
        <f>AVERAGE(Assuntos_2025[[#This Row],[1° trim 2025]:[4° trim 2025]])</f>
        <v>0.75</v>
      </c>
      <c r="H129" s="165">
        <f>(Assuntos_2025[[#This Row],[Total]]/Assuntos_2025[[#Totals],[Total]])</f>
        <v>4.4408259936348161E-5</v>
      </c>
    </row>
    <row r="130" spans="1:8" ht="15" customHeight="1">
      <c r="A130" s="35" t="s">
        <v>176</v>
      </c>
      <c r="B130" s="117">
        <v>424</v>
      </c>
      <c r="C130" s="117">
        <v>458</v>
      </c>
      <c r="D130" s="117">
        <v>554</v>
      </c>
      <c r="E130" s="172">
        <v>380</v>
      </c>
      <c r="F130" s="173">
        <f>SUM(Assuntos_2025[[#This Row],[1° trim 2025]:[4° trim 2025]])</f>
        <v>1816</v>
      </c>
      <c r="G130" s="21">
        <f>AVERAGE(Assuntos_2025[[#This Row],[1° trim 2025]:[4° trim 2025]])</f>
        <v>454</v>
      </c>
      <c r="H130" s="165">
        <f>(Assuntos_2025[[#This Row],[Total]]/Assuntos_2025[[#Totals],[Total]])</f>
        <v>2.6881800014802754E-2</v>
      </c>
    </row>
    <row r="131" spans="1:8" ht="15" customHeight="1">
      <c r="A131" s="35" t="s">
        <v>177</v>
      </c>
      <c r="B131" s="117">
        <v>277</v>
      </c>
      <c r="C131" s="117">
        <v>296</v>
      </c>
      <c r="D131" s="117">
        <v>240</v>
      </c>
      <c r="E131" s="172">
        <v>203</v>
      </c>
      <c r="F131" s="173">
        <f>SUM(Assuntos_2025[[#This Row],[1° trim 2025]:[4° trim 2025]])</f>
        <v>1016</v>
      </c>
      <c r="G131" s="21">
        <f>AVERAGE(Assuntos_2025[[#This Row],[1° trim 2025]:[4° trim 2025]])</f>
        <v>254</v>
      </c>
      <c r="H131" s="165">
        <f>(Assuntos_2025[[#This Row],[Total]]/Assuntos_2025[[#Totals],[Total]])</f>
        <v>1.5039597365109911E-2</v>
      </c>
    </row>
    <row r="132" spans="1:8" ht="15" customHeight="1">
      <c r="A132" s="35" t="s">
        <v>178</v>
      </c>
      <c r="B132" s="117">
        <v>0</v>
      </c>
      <c r="C132" s="117">
        <v>0</v>
      </c>
      <c r="D132" s="117">
        <v>0</v>
      </c>
      <c r="E132" s="172">
        <v>0</v>
      </c>
      <c r="F132" s="173">
        <f>SUM(Assuntos_2025[[#This Row],[1° trim 2025]:[4° trim 2025]])</f>
        <v>0</v>
      </c>
      <c r="G132" s="21">
        <f>AVERAGE(Assuntos_2025[[#This Row],[1° trim 2025]:[4° trim 2025]])</f>
        <v>0</v>
      </c>
      <c r="H132" s="165">
        <f>(Assuntos_2025[[#This Row],[Total]]/Assuntos_2025[[#Totals],[Total]])</f>
        <v>0</v>
      </c>
    </row>
    <row r="133" spans="1:8" ht="15" customHeight="1">
      <c r="A133" s="35" t="s">
        <v>179</v>
      </c>
      <c r="B133" s="117">
        <v>33</v>
      </c>
      <c r="C133" s="117">
        <v>38</v>
      </c>
      <c r="D133" s="117">
        <v>37</v>
      </c>
      <c r="E133" s="172">
        <v>15</v>
      </c>
      <c r="F133" s="173">
        <f>SUM(Assuntos_2025[[#This Row],[1° trim 2025]:[4° trim 2025]])</f>
        <v>123</v>
      </c>
      <c r="G133" s="21">
        <f>AVERAGE(Assuntos_2025[[#This Row],[1° trim 2025]:[4° trim 2025]])</f>
        <v>30.75</v>
      </c>
      <c r="H133" s="165">
        <f>(Assuntos_2025[[#This Row],[Total]]/Assuntos_2025[[#Totals],[Total]])</f>
        <v>1.8207386573902745E-3</v>
      </c>
    </row>
    <row r="134" spans="1:8" ht="15" customHeight="1">
      <c r="A134" s="35" t="s">
        <v>180</v>
      </c>
      <c r="B134" s="117">
        <v>0</v>
      </c>
      <c r="C134" s="117">
        <v>0</v>
      </c>
      <c r="D134" s="117">
        <v>0</v>
      </c>
      <c r="E134" s="172">
        <v>1</v>
      </c>
      <c r="F134" s="173">
        <f>SUM(Assuntos_2025[[#This Row],[1° trim 2025]:[4° trim 2025]])</f>
        <v>1</v>
      </c>
      <c r="G134" s="21">
        <f>AVERAGE(Assuntos_2025[[#This Row],[1° trim 2025]:[4° trim 2025]])</f>
        <v>0.25</v>
      </c>
      <c r="H134" s="165">
        <f>(Assuntos_2025[[#This Row],[Total]]/Assuntos_2025[[#Totals],[Total]])</f>
        <v>1.4802753312116054E-5</v>
      </c>
    </row>
    <row r="135" spans="1:8" ht="15" customHeight="1">
      <c r="A135" s="35" t="s">
        <v>181</v>
      </c>
      <c r="B135" s="117">
        <v>137</v>
      </c>
      <c r="C135" s="117">
        <v>120</v>
      </c>
      <c r="D135" s="117">
        <v>154</v>
      </c>
      <c r="E135" s="172">
        <v>242</v>
      </c>
      <c r="F135" s="173">
        <f>SUM(Assuntos_2025[[#This Row],[1° trim 2025]:[4° trim 2025]])</f>
        <v>653</v>
      </c>
      <c r="G135" s="21">
        <f>AVERAGE(Assuntos_2025[[#This Row],[1° trim 2025]:[4° trim 2025]])</f>
        <v>163.25</v>
      </c>
      <c r="H135" s="165">
        <f>(Assuntos_2025[[#This Row],[Total]]/Assuntos_2025[[#Totals],[Total]])</f>
        <v>9.6661979128117824E-3</v>
      </c>
    </row>
    <row r="136" spans="1:8" ht="15" customHeight="1">
      <c r="A136" s="35" t="s">
        <v>182</v>
      </c>
      <c r="B136" s="117">
        <v>5</v>
      </c>
      <c r="C136" s="117">
        <v>4</v>
      </c>
      <c r="D136" s="117">
        <v>8</v>
      </c>
      <c r="E136" s="172">
        <v>2</v>
      </c>
      <c r="F136" s="173">
        <f>SUM(Assuntos_2025[[#This Row],[1° trim 2025]:[4° trim 2025]])</f>
        <v>19</v>
      </c>
      <c r="G136" s="21">
        <f>AVERAGE(Assuntos_2025[[#This Row],[1° trim 2025]:[4° trim 2025]])</f>
        <v>4.75</v>
      </c>
      <c r="H136" s="165">
        <f>(Assuntos_2025[[#This Row],[Total]]/Assuntos_2025[[#Totals],[Total]])</f>
        <v>2.8125231293020503E-4</v>
      </c>
    </row>
    <row r="137" spans="1:8" ht="15" customHeight="1">
      <c r="A137" s="35" t="s">
        <v>183</v>
      </c>
      <c r="B137" s="117">
        <v>0</v>
      </c>
      <c r="C137" s="117">
        <v>0</v>
      </c>
      <c r="D137" s="117">
        <v>0</v>
      </c>
      <c r="E137" s="172">
        <v>0</v>
      </c>
      <c r="F137" s="173">
        <f>SUM(Assuntos_2025[[#This Row],[1° trim 2025]:[4° trim 2025]])</f>
        <v>0</v>
      </c>
      <c r="G137" s="21">
        <f>AVERAGE(Assuntos_2025[[#This Row],[1° trim 2025]:[4° trim 2025]])</f>
        <v>0</v>
      </c>
      <c r="H137" s="165">
        <f>(Assuntos_2025[[#This Row],[Total]]/Assuntos_2025[[#Totals],[Total]])</f>
        <v>0</v>
      </c>
    </row>
    <row r="138" spans="1:8" ht="15" customHeight="1">
      <c r="A138" s="35" t="s">
        <v>184</v>
      </c>
      <c r="B138" s="117">
        <v>0</v>
      </c>
      <c r="C138" s="117">
        <v>1</v>
      </c>
      <c r="D138" s="117">
        <v>3</v>
      </c>
      <c r="E138" s="172">
        <v>3</v>
      </c>
      <c r="F138" s="173">
        <f>SUM(Assuntos_2025[[#This Row],[1° trim 2025]:[4° trim 2025]])</f>
        <v>7</v>
      </c>
      <c r="G138" s="21">
        <f>AVERAGE(Assuntos_2025[[#This Row],[1° trim 2025]:[4° trim 2025]])</f>
        <v>1.75</v>
      </c>
      <c r="H138" s="165">
        <f>(Assuntos_2025[[#This Row],[Total]]/Assuntos_2025[[#Totals],[Total]])</f>
        <v>1.0361927318481238E-4</v>
      </c>
    </row>
    <row r="139" spans="1:8" ht="15" customHeight="1">
      <c r="A139" s="35" t="s">
        <v>185</v>
      </c>
      <c r="B139" s="117">
        <v>32</v>
      </c>
      <c r="C139" s="117">
        <v>50</v>
      </c>
      <c r="D139" s="117">
        <v>42</v>
      </c>
      <c r="E139" s="172">
        <v>37</v>
      </c>
      <c r="F139" s="173">
        <f>SUM(Assuntos_2025[[#This Row],[1° trim 2025]:[4° trim 2025]])</f>
        <v>161</v>
      </c>
      <c r="G139" s="21">
        <f>AVERAGE(Assuntos_2025[[#This Row],[1° trim 2025]:[4° trim 2025]])</f>
        <v>40.25</v>
      </c>
      <c r="H139" s="165">
        <f>(Assuntos_2025[[#This Row],[Total]]/Assuntos_2025[[#Totals],[Total]])</f>
        <v>2.3832432832506848E-3</v>
      </c>
    </row>
    <row r="140" spans="1:8" ht="15" customHeight="1">
      <c r="A140" s="35" t="s">
        <v>186</v>
      </c>
      <c r="B140" s="117">
        <v>0</v>
      </c>
      <c r="C140" s="117">
        <v>0</v>
      </c>
      <c r="D140" s="117">
        <v>1</v>
      </c>
      <c r="E140" s="172">
        <v>5</v>
      </c>
      <c r="F140" s="173">
        <f>SUM(Assuntos_2025[[#This Row],[1° trim 2025]:[4° trim 2025]])</f>
        <v>6</v>
      </c>
      <c r="G140" s="21">
        <f>AVERAGE(Assuntos_2025[[#This Row],[1° trim 2025]:[4° trim 2025]])</f>
        <v>1.5</v>
      </c>
      <c r="H140" s="165">
        <f>(Assuntos_2025[[#This Row],[Total]]/Assuntos_2025[[#Totals],[Total]])</f>
        <v>8.8816519872696322E-5</v>
      </c>
    </row>
    <row r="141" spans="1:8" ht="15" customHeight="1">
      <c r="A141" s="35" t="s">
        <v>187</v>
      </c>
      <c r="B141" s="117">
        <v>350</v>
      </c>
      <c r="C141" s="117">
        <v>309</v>
      </c>
      <c r="D141" s="117">
        <v>300</v>
      </c>
      <c r="E141" s="172">
        <v>270</v>
      </c>
      <c r="F141" s="173">
        <f>SUM(Assuntos_2025[[#This Row],[1° trim 2025]:[4° trim 2025]])</f>
        <v>1229</v>
      </c>
      <c r="G141" s="21">
        <f>AVERAGE(Assuntos_2025[[#This Row],[1° trim 2025]:[4° trim 2025]])</f>
        <v>307.25</v>
      </c>
      <c r="H141" s="165">
        <f>(Assuntos_2025[[#This Row],[Total]]/Assuntos_2025[[#Totals],[Total]])</f>
        <v>1.8192583820590628E-2</v>
      </c>
    </row>
    <row r="142" spans="1:8" ht="15" customHeight="1">
      <c r="A142" s="35" t="s">
        <v>188</v>
      </c>
      <c r="B142" s="117">
        <v>0</v>
      </c>
      <c r="C142" s="117">
        <v>1</v>
      </c>
      <c r="D142" s="117">
        <v>1</v>
      </c>
      <c r="E142" s="172">
        <v>0</v>
      </c>
      <c r="F142" s="173">
        <f>SUM(Assuntos_2025[[#This Row],[1° trim 2025]:[4° trim 2025]])</f>
        <v>2</v>
      </c>
      <c r="G142" s="21">
        <f>AVERAGE(Assuntos_2025[[#This Row],[1° trim 2025]:[4° trim 2025]])</f>
        <v>0.5</v>
      </c>
      <c r="H142" s="165">
        <f>(Assuntos_2025[[#This Row],[Total]]/Assuntos_2025[[#Totals],[Total]])</f>
        <v>2.9605506624232107E-5</v>
      </c>
    </row>
    <row r="143" spans="1:8" ht="15" customHeight="1">
      <c r="A143" s="35" t="s">
        <v>189</v>
      </c>
      <c r="B143" s="117">
        <v>1</v>
      </c>
      <c r="C143" s="117">
        <v>2</v>
      </c>
      <c r="D143" s="117">
        <v>0</v>
      </c>
      <c r="E143" s="172">
        <v>0</v>
      </c>
      <c r="F143" s="173">
        <f>SUM(Assuntos_2025[[#This Row],[1° trim 2025]:[4° trim 2025]])</f>
        <v>3</v>
      </c>
      <c r="G143" s="21">
        <f>AVERAGE(Assuntos_2025[[#This Row],[1° trim 2025]:[4° trim 2025]])</f>
        <v>0.75</v>
      </c>
      <c r="H143" s="165">
        <f>(Assuntos_2025[[#This Row],[Total]]/Assuntos_2025[[#Totals],[Total]])</f>
        <v>4.4408259936348161E-5</v>
      </c>
    </row>
    <row r="144" spans="1:8" ht="15" customHeight="1">
      <c r="A144" s="35" t="s">
        <v>190</v>
      </c>
      <c r="B144" s="117">
        <v>0</v>
      </c>
      <c r="C144" s="117">
        <v>1</v>
      </c>
      <c r="D144" s="117">
        <v>2</v>
      </c>
      <c r="E144" s="172">
        <v>1</v>
      </c>
      <c r="F144" s="173">
        <f>SUM(Assuntos_2025[[#This Row],[1° trim 2025]:[4° trim 2025]])</f>
        <v>4</v>
      </c>
      <c r="G144" s="21">
        <f>AVERAGE(Assuntos_2025[[#This Row],[1° trim 2025]:[4° trim 2025]])</f>
        <v>1</v>
      </c>
      <c r="H144" s="165">
        <f>(Assuntos_2025[[#This Row],[Total]]/Assuntos_2025[[#Totals],[Total]])</f>
        <v>5.9211013248464215E-5</v>
      </c>
    </row>
    <row r="145" spans="1:8" ht="15" customHeight="1">
      <c r="A145" s="35" t="s">
        <v>191</v>
      </c>
      <c r="B145" s="117">
        <v>8</v>
      </c>
      <c r="C145" s="117">
        <v>11</v>
      </c>
      <c r="D145" s="117">
        <v>9</v>
      </c>
      <c r="E145" s="172">
        <v>8</v>
      </c>
      <c r="F145" s="173">
        <f>SUM(Assuntos_2025[[#This Row],[1° trim 2025]:[4° trim 2025]])</f>
        <v>36</v>
      </c>
      <c r="G145" s="21">
        <f>AVERAGE(Assuntos_2025[[#This Row],[1° trim 2025]:[4° trim 2025]])</f>
        <v>9</v>
      </c>
      <c r="H145" s="165">
        <f>(Assuntos_2025[[#This Row],[Total]]/Assuntos_2025[[#Totals],[Total]])</f>
        <v>5.3289911923617788E-4</v>
      </c>
    </row>
    <row r="146" spans="1:8" ht="15" customHeight="1">
      <c r="A146" s="35" t="s">
        <v>192</v>
      </c>
      <c r="B146" s="117">
        <v>6</v>
      </c>
      <c r="C146" s="117">
        <v>2</v>
      </c>
      <c r="D146" s="117">
        <v>5</v>
      </c>
      <c r="E146" s="172">
        <v>1</v>
      </c>
      <c r="F146" s="173">
        <f>SUM(Assuntos_2025[[#This Row],[1° trim 2025]:[4° trim 2025]])</f>
        <v>14</v>
      </c>
      <c r="G146" s="21">
        <f>AVERAGE(Assuntos_2025[[#This Row],[1° trim 2025]:[4° trim 2025]])</f>
        <v>3.5</v>
      </c>
      <c r="H146" s="165">
        <f>(Assuntos_2025[[#This Row],[Total]]/Assuntos_2025[[#Totals],[Total]])</f>
        <v>2.0723854636962475E-4</v>
      </c>
    </row>
    <row r="147" spans="1:8" ht="15" customHeight="1">
      <c r="A147" s="35" t="s">
        <v>193</v>
      </c>
      <c r="B147" s="117">
        <v>70</v>
      </c>
      <c r="C147" s="117">
        <v>59</v>
      </c>
      <c r="D147" s="117">
        <v>85</v>
      </c>
      <c r="E147" s="172">
        <v>81</v>
      </c>
      <c r="F147" s="173">
        <f>SUM(Assuntos_2025[[#This Row],[1° trim 2025]:[4° trim 2025]])</f>
        <v>295</v>
      </c>
      <c r="G147" s="21">
        <f>AVERAGE(Assuntos_2025[[#This Row],[1° trim 2025]:[4° trim 2025]])</f>
        <v>73.75</v>
      </c>
      <c r="H147" s="165">
        <f>(Assuntos_2025[[#This Row],[Total]]/Assuntos_2025[[#Totals],[Total]])</f>
        <v>4.3668122270742356E-3</v>
      </c>
    </row>
    <row r="148" spans="1:8" ht="15" customHeight="1">
      <c r="A148" s="35" t="s">
        <v>194</v>
      </c>
      <c r="B148" s="117">
        <v>22</v>
      </c>
      <c r="C148" s="117">
        <v>19</v>
      </c>
      <c r="D148" s="117">
        <v>16</v>
      </c>
      <c r="E148" s="172">
        <v>56</v>
      </c>
      <c r="F148" s="173">
        <f>SUM(Assuntos_2025[[#This Row],[1° trim 2025]:[4° trim 2025]])</f>
        <v>113</v>
      </c>
      <c r="G148" s="21">
        <f>AVERAGE(Assuntos_2025[[#This Row],[1° trim 2025]:[4° trim 2025]])</f>
        <v>28.25</v>
      </c>
      <c r="H148" s="165">
        <f>(Assuntos_2025[[#This Row],[Total]]/Assuntos_2025[[#Totals],[Total]])</f>
        <v>1.672711124269114E-3</v>
      </c>
    </row>
    <row r="149" spans="1:8" ht="15" customHeight="1">
      <c r="A149" s="35" t="s">
        <v>195</v>
      </c>
      <c r="B149" s="117">
        <v>0</v>
      </c>
      <c r="C149" s="117">
        <v>0</v>
      </c>
      <c r="D149" s="117">
        <v>0</v>
      </c>
      <c r="E149" s="172">
        <v>0</v>
      </c>
      <c r="F149" s="173">
        <f>SUM(Assuntos_2025[[#This Row],[1° trim 2025]:[4° trim 2025]])</f>
        <v>0</v>
      </c>
      <c r="G149" s="21">
        <f>AVERAGE(Assuntos_2025[[#This Row],[1° trim 2025]:[4° trim 2025]])</f>
        <v>0</v>
      </c>
      <c r="H149" s="165">
        <f>(Assuntos_2025[[#This Row],[Total]]/Assuntos_2025[[#Totals],[Total]])</f>
        <v>0</v>
      </c>
    </row>
    <row r="150" spans="1:8" ht="15" customHeight="1">
      <c r="A150" s="35" t="s">
        <v>196</v>
      </c>
      <c r="B150" s="117">
        <v>4</v>
      </c>
      <c r="C150" s="117">
        <v>6</v>
      </c>
      <c r="D150" s="117">
        <v>10</v>
      </c>
      <c r="E150" s="172">
        <v>5</v>
      </c>
      <c r="F150" s="173">
        <f>SUM(Assuntos_2025[[#This Row],[1° trim 2025]:[4° trim 2025]])</f>
        <v>25</v>
      </c>
      <c r="G150" s="21">
        <f>AVERAGE(Assuntos_2025[[#This Row],[1° trim 2025]:[4° trim 2025]])</f>
        <v>6.25</v>
      </c>
      <c r="H150" s="165">
        <f>(Assuntos_2025[[#This Row],[Total]]/Assuntos_2025[[#Totals],[Total]])</f>
        <v>3.7006883280290133E-4</v>
      </c>
    </row>
    <row r="151" spans="1:8" ht="15" customHeight="1">
      <c r="A151" s="35" t="s">
        <v>197</v>
      </c>
      <c r="B151" s="117">
        <v>3</v>
      </c>
      <c r="C151" s="117">
        <v>5</v>
      </c>
      <c r="D151" s="117">
        <v>3</v>
      </c>
      <c r="E151" s="172">
        <v>5</v>
      </c>
      <c r="F151" s="173">
        <f>SUM(Assuntos_2025[[#This Row],[1° trim 2025]:[4° trim 2025]])</f>
        <v>16</v>
      </c>
      <c r="G151" s="21">
        <f>AVERAGE(Assuntos_2025[[#This Row],[1° trim 2025]:[4° trim 2025]])</f>
        <v>4</v>
      </c>
      <c r="H151" s="165">
        <f>(Assuntos_2025[[#This Row],[Total]]/Assuntos_2025[[#Totals],[Total]])</f>
        <v>2.3684405299385686E-4</v>
      </c>
    </row>
    <row r="152" spans="1:8" ht="15" customHeight="1">
      <c r="A152" s="43" t="s">
        <v>198</v>
      </c>
      <c r="B152" s="117">
        <v>269</v>
      </c>
      <c r="C152" s="117">
        <v>173</v>
      </c>
      <c r="D152" s="117">
        <v>158</v>
      </c>
      <c r="E152" s="172">
        <v>176</v>
      </c>
      <c r="F152" s="173">
        <f>SUM(Assuntos_2025[[#This Row],[1° trim 2025]:[4° trim 2025]])</f>
        <v>776</v>
      </c>
      <c r="G152" s="21">
        <f>AVERAGE(Assuntos_2025[[#This Row],[1° trim 2025]:[4° trim 2025]])</f>
        <v>194</v>
      </c>
      <c r="H152" s="165">
        <f>(Assuntos_2025[[#This Row],[Total]]/Assuntos_2025[[#Totals],[Total]])</f>
        <v>1.1486936570202057E-2</v>
      </c>
    </row>
    <row r="153" spans="1:8" ht="15" customHeight="1">
      <c r="A153" s="35" t="s">
        <v>199</v>
      </c>
      <c r="B153" s="117">
        <v>0</v>
      </c>
      <c r="C153" s="117">
        <v>0</v>
      </c>
      <c r="D153" s="117">
        <v>0</v>
      </c>
      <c r="E153" s="172">
        <v>0</v>
      </c>
      <c r="F153" s="173">
        <f>SUM(Assuntos_2025[[#This Row],[1° trim 2025]:[4° trim 2025]])</f>
        <v>0</v>
      </c>
      <c r="G153" s="21">
        <f>AVERAGE(Assuntos_2025[[#This Row],[1° trim 2025]:[4° trim 2025]])</f>
        <v>0</v>
      </c>
      <c r="H153" s="165">
        <f>(Assuntos_2025[[#This Row],[Total]]/Assuntos_2025[[#Totals],[Total]])</f>
        <v>0</v>
      </c>
    </row>
    <row r="154" spans="1:8" ht="15" customHeight="1">
      <c r="A154" s="35" t="s">
        <v>200</v>
      </c>
      <c r="B154" s="117">
        <v>9</v>
      </c>
      <c r="C154" s="117">
        <v>2</v>
      </c>
      <c r="D154" s="117">
        <v>4</v>
      </c>
      <c r="E154" s="172">
        <v>9</v>
      </c>
      <c r="F154" s="173">
        <f>SUM(Assuntos_2025[[#This Row],[1° trim 2025]:[4° trim 2025]])</f>
        <v>24</v>
      </c>
      <c r="G154" s="21">
        <f>AVERAGE(Assuntos_2025[[#This Row],[1° trim 2025]:[4° trim 2025]])</f>
        <v>6</v>
      </c>
      <c r="H154" s="165">
        <f>(Assuntos_2025[[#This Row],[Total]]/Assuntos_2025[[#Totals],[Total]])</f>
        <v>3.5526607949078529E-4</v>
      </c>
    </row>
    <row r="155" spans="1:8" ht="15" customHeight="1">
      <c r="A155" s="35" t="s">
        <v>201</v>
      </c>
      <c r="B155" s="117">
        <v>15</v>
      </c>
      <c r="C155" s="117">
        <v>13</v>
      </c>
      <c r="D155" s="117">
        <v>5</v>
      </c>
      <c r="E155" s="172">
        <v>7</v>
      </c>
      <c r="F155" s="173">
        <f>SUM(Assuntos_2025[[#This Row],[1° trim 2025]:[4° trim 2025]])</f>
        <v>40</v>
      </c>
      <c r="G155" s="21">
        <f>AVERAGE(Assuntos_2025[[#This Row],[1° trim 2025]:[4° trim 2025]])</f>
        <v>10</v>
      </c>
      <c r="H155" s="165">
        <f>(Assuntos_2025[[#This Row],[Total]]/Assuntos_2025[[#Totals],[Total]])</f>
        <v>5.9211013248464215E-4</v>
      </c>
    </row>
    <row r="156" spans="1:8" ht="15" customHeight="1">
      <c r="A156" s="35" t="s">
        <v>202</v>
      </c>
      <c r="B156" s="117">
        <v>0</v>
      </c>
      <c r="C156" s="117">
        <v>0</v>
      </c>
      <c r="D156" s="117">
        <v>0</v>
      </c>
      <c r="E156" s="172">
        <v>0</v>
      </c>
      <c r="F156" s="173">
        <f>SUM(Assuntos_2025[[#This Row],[1° trim 2025]:[4° trim 2025]])</f>
        <v>0</v>
      </c>
      <c r="G156" s="21">
        <f>AVERAGE(Assuntos_2025[[#This Row],[1° trim 2025]:[4° trim 2025]])</f>
        <v>0</v>
      </c>
      <c r="H156" s="165">
        <f>(Assuntos_2025[[#This Row],[Total]]/Assuntos_2025[[#Totals],[Total]])</f>
        <v>0</v>
      </c>
    </row>
    <row r="157" spans="1:8" s="58" customFormat="1" ht="15" customHeight="1">
      <c r="A157" s="35" t="s">
        <v>203</v>
      </c>
      <c r="B157" s="117">
        <v>5</v>
      </c>
      <c r="C157" s="117">
        <v>17</v>
      </c>
      <c r="D157" s="117">
        <v>5</v>
      </c>
      <c r="E157" s="172">
        <v>0</v>
      </c>
      <c r="F157" s="173">
        <f>SUM(Assuntos_2025[[#This Row],[1° trim 2025]:[4° trim 2025]])</f>
        <v>27</v>
      </c>
      <c r="G157" s="21">
        <f>AVERAGE(Assuntos_2025[[#This Row],[1° trim 2025]:[4° trim 2025]])</f>
        <v>6.75</v>
      </c>
      <c r="H157" s="165">
        <f>(Assuntos_2025[[#This Row],[Total]]/Assuntos_2025[[#Totals],[Total]])</f>
        <v>3.9967433942713346E-4</v>
      </c>
    </row>
    <row r="158" spans="1:8" ht="15" customHeight="1">
      <c r="A158" s="35" t="s">
        <v>204</v>
      </c>
      <c r="B158" s="117">
        <v>0</v>
      </c>
      <c r="C158" s="117">
        <v>6</v>
      </c>
      <c r="D158" s="117">
        <v>11</v>
      </c>
      <c r="E158" s="172">
        <v>13</v>
      </c>
      <c r="F158" s="173">
        <f>SUM(Assuntos_2025[[#This Row],[1° trim 2025]:[4° trim 2025]])</f>
        <v>30</v>
      </c>
      <c r="G158" s="21">
        <f>AVERAGE(Assuntos_2025[[#This Row],[1° trim 2025]:[4° trim 2025]])</f>
        <v>7.5</v>
      </c>
      <c r="H158" s="165">
        <f>(Assuntos_2025[[#This Row],[Total]]/Assuntos_2025[[#Totals],[Total]])</f>
        <v>4.4408259936348158E-4</v>
      </c>
    </row>
    <row r="159" spans="1:8" ht="15" customHeight="1">
      <c r="A159" s="43" t="s">
        <v>205</v>
      </c>
      <c r="B159" s="117">
        <v>257</v>
      </c>
      <c r="C159" s="117">
        <v>183</v>
      </c>
      <c r="D159" s="117">
        <v>171</v>
      </c>
      <c r="E159" s="172">
        <v>168</v>
      </c>
      <c r="F159" s="173">
        <f>SUM(Assuntos_2025[[#This Row],[1° trim 2025]:[4° trim 2025]])</f>
        <v>779</v>
      </c>
      <c r="G159" s="21">
        <f>AVERAGE(Assuntos_2025[[#This Row],[1° trim 2025]:[4° trim 2025]])</f>
        <v>194.75</v>
      </c>
      <c r="H159" s="165">
        <f>(Assuntos_2025[[#This Row],[Total]]/Assuntos_2025[[#Totals],[Total]])</f>
        <v>1.1531344830138407E-2</v>
      </c>
    </row>
    <row r="160" spans="1:8" ht="15" customHeight="1">
      <c r="A160" s="43" t="s">
        <v>206</v>
      </c>
      <c r="B160" s="117">
        <v>3</v>
      </c>
      <c r="C160" s="117">
        <v>3</v>
      </c>
      <c r="D160" s="117">
        <v>1</v>
      </c>
      <c r="E160" s="172">
        <v>6</v>
      </c>
      <c r="F160" s="173">
        <f>SUM(Assuntos_2025[[#This Row],[1° trim 2025]:[4° trim 2025]])</f>
        <v>13</v>
      </c>
      <c r="G160" s="21">
        <f>AVERAGE(Assuntos_2025[[#This Row],[1° trim 2025]:[4° trim 2025]])</f>
        <v>3.25</v>
      </c>
      <c r="H160" s="165">
        <f>(Assuntos_2025[[#This Row],[Total]]/Assuntos_2025[[#Totals],[Total]])</f>
        <v>1.9243579305750868E-4</v>
      </c>
    </row>
    <row r="161" spans="1:8" ht="15" customHeight="1">
      <c r="A161" s="43" t="s">
        <v>207</v>
      </c>
      <c r="B161" s="117">
        <v>38</v>
      </c>
      <c r="C161" s="117">
        <v>24</v>
      </c>
      <c r="D161" s="117">
        <v>30</v>
      </c>
      <c r="E161" s="172">
        <v>22</v>
      </c>
      <c r="F161" s="173">
        <f>SUM(Assuntos_2025[[#This Row],[1° trim 2025]:[4° trim 2025]])</f>
        <v>114</v>
      </c>
      <c r="G161" s="21">
        <f>AVERAGE(Assuntos_2025[[#This Row],[1° trim 2025]:[4° trim 2025]])</f>
        <v>28.5</v>
      </c>
      <c r="H161" s="165">
        <f>(Assuntos_2025[[#This Row],[Total]]/Assuntos_2025[[#Totals],[Total]])</f>
        <v>1.6875138775812302E-3</v>
      </c>
    </row>
    <row r="162" spans="1:8" ht="15" customHeight="1">
      <c r="A162" s="43" t="s">
        <v>208</v>
      </c>
      <c r="B162" s="117">
        <v>24</v>
      </c>
      <c r="C162" s="117">
        <v>33</v>
      </c>
      <c r="D162" s="117">
        <v>20</v>
      </c>
      <c r="E162" s="172">
        <v>29</v>
      </c>
      <c r="F162" s="173">
        <f>SUM(Assuntos_2025[[#This Row],[1° trim 2025]:[4° trim 2025]])</f>
        <v>106</v>
      </c>
      <c r="G162" s="21">
        <f>AVERAGE(Assuntos_2025[[#This Row],[1° trim 2025]:[4° trim 2025]])</f>
        <v>26.5</v>
      </c>
      <c r="H162" s="165">
        <f>(Assuntos_2025[[#This Row],[Total]]/Assuntos_2025[[#Totals],[Total]])</f>
        <v>1.5690918510843017E-3</v>
      </c>
    </row>
    <row r="163" spans="1:8" ht="15" customHeight="1">
      <c r="A163" s="43" t="s">
        <v>209</v>
      </c>
      <c r="B163" s="117">
        <v>0</v>
      </c>
      <c r="C163" s="117">
        <v>0</v>
      </c>
      <c r="D163" s="117">
        <v>2</v>
      </c>
      <c r="E163" s="172">
        <v>0</v>
      </c>
      <c r="F163" s="173">
        <f>SUM(Assuntos_2025[[#This Row],[1° trim 2025]:[4° trim 2025]])</f>
        <v>2</v>
      </c>
      <c r="G163" s="21">
        <f>AVERAGE(Assuntos_2025[[#This Row],[1° trim 2025]:[4° trim 2025]])</f>
        <v>0.5</v>
      </c>
      <c r="H163" s="165">
        <f>(Assuntos_2025[[#This Row],[Total]]/Assuntos_2025[[#Totals],[Total]])</f>
        <v>2.9605506624232107E-5</v>
      </c>
    </row>
    <row r="164" spans="1:8" ht="15" customHeight="1">
      <c r="A164" s="43" t="s">
        <v>210</v>
      </c>
      <c r="B164" s="117">
        <v>203</v>
      </c>
      <c r="C164" s="117">
        <v>180</v>
      </c>
      <c r="D164" s="117">
        <v>177</v>
      </c>
      <c r="E164" s="172">
        <v>117</v>
      </c>
      <c r="F164" s="173">
        <f>SUM(Assuntos_2025[[#This Row],[1° trim 2025]:[4° trim 2025]])</f>
        <v>677</v>
      </c>
      <c r="G164" s="21">
        <f>AVERAGE(Assuntos_2025[[#This Row],[1° trim 2025]:[4° trim 2025]])</f>
        <v>169.25</v>
      </c>
      <c r="H164" s="165">
        <f>(Assuntos_2025[[#This Row],[Total]]/Assuntos_2025[[#Totals],[Total]])</f>
        <v>1.0021463992302568E-2</v>
      </c>
    </row>
    <row r="165" spans="1:8" ht="15" customHeight="1">
      <c r="A165" s="35" t="s">
        <v>211</v>
      </c>
      <c r="B165" s="117">
        <v>0</v>
      </c>
      <c r="C165" s="117">
        <v>1</v>
      </c>
      <c r="D165" s="117">
        <v>2</v>
      </c>
      <c r="E165" s="172">
        <v>5</v>
      </c>
      <c r="F165" s="173">
        <f>SUM(Assuntos_2025[[#This Row],[1° trim 2025]:[4° trim 2025]])</f>
        <v>8</v>
      </c>
      <c r="G165" s="21">
        <f>AVERAGE(Assuntos_2025[[#This Row],[1° trim 2025]:[4° trim 2025]])</f>
        <v>2</v>
      </c>
      <c r="H165" s="165">
        <f>(Assuntos_2025[[#This Row],[Total]]/Assuntos_2025[[#Totals],[Total]])</f>
        <v>1.1842202649692843E-4</v>
      </c>
    </row>
    <row r="166" spans="1:8" ht="15" customHeight="1">
      <c r="A166" s="35" t="s">
        <v>212</v>
      </c>
      <c r="B166" s="117">
        <v>1</v>
      </c>
      <c r="C166" s="117">
        <v>1</v>
      </c>
      <c r="D166" s="117">
        <v>1</v>
      </c>
      <c r="E166" s="172">
        <v>1</v>
      </c>
      <c r="F166" s="173">
        <f>SUM(Assuntos_2025[[#This Row],[1° trim 2025]:[4° trim 2025]])</f>
        <v>4</v>
      </c>
      <c r="G166" s="21">
        <f>AVERAGE(Assuntos_2025[[#This Row],[1° trim 2025]:[4° trim 2025]])</f>
        <v>1</v>
      </c>
      <c r="H166" s="165">
        <f>(Assuntos_2025[[#This Row],[Total]]/Assuntos_2025[[#Totals],[Total]])</f>
        <v>5.9211013248464215E-5</v>
      </c>
    </row>
    <row r="167" spans="1:8" ht="15" customHeight="1">
      <c r="A167" s="35" t="s">
        <v>213</v>
      </c>
      <c r="B167" s="117">
        <v>1</v>
      </c>
      <c r="C167" s="117">
        <v>0</v>
      </c>
      <c r="D167" s="117">
        <v>0</v>
      </c>
      <c r="E167" s="172">
        <v>0</v>
      </c>
      <c r="F167" s="173">
        <f>SUM(Assuntos_2025[[#This Row],[1° trim 2025]:[4° trim 2025]])</f>
        <v>1</v>
      </c>
      <c r="G167" s="21">
        <f>AVERAGE(Assuntos_2025[[#This Row],[1° trim 2025]:[4° trim 2025]])</f>
        <v>0.25</v>
      </c>
      <c r="H167" s="165">
        <f>(Assuntos_2025[[#This Row],[Total]]/Assuntos_2025[[#Totals],[Total]])</f>
        <v>1.4802753312116054E-5</v>
      </c>
    </row>
    <row r="168" spans="1:8" ht="15" customHeight="1">
      <c r="A168" s="168" t="s">
        <v>214</v>
      </c>
      <c r="B168" s="117">
        <v>73</v>
      </c>
      <c r="C168" s="117">
        <v>102</v>
      </c>
      <c r="D168" s="117">
        <v>83</v>
      </c>
      <c r="E168" s="172">
        <v>125</v>
      </c>
      <c r="F168" s="173">
        <f>SUM(Assuntos_2025[[#This Row],[1° trim 2025]:[4° trim 2025]])</f>
        <v>383</v>
      </c>
      <c r="G168" s="21">
        <f>AVERAGE(Assuntos_2025[[#This Row],[1° trim 2025]:[4° trim 2025]])</f>
        <v>95.75</v>
      </c>
      <c r="H168" s="165">
        <f>(Assuntos_2025[[#This Row],[Total]]/Assuntos_2025[[#Totals],[Total]])</f>
        <v>5.6694545185404484E-3</v>
      </c>
    </row>
    <row r="169" spans="1:8" ht="15" customHeight="1">
      <c r="A169" s="43" t="s">
        <v>215</v>
      </c>
      <c r="B169" s="117">
        <v>1</v>
      </c>
      <c r="C169" s="117">
        <v>0</v>
      </c>
      <c r="D169" s="117">
        <v>0</v>
      </c>
      <c r="E169" s="172">
        <v>1</v>
      </c>
      <c r="F169" s="173">
        <f>SUM(Assuntos_2025[[#This Row],[1° trim 2025]:[4° trim 2025]])</f>
        <v>2</v>
      </c>
      <c r="G169" s="21">
        <f>AVERAGE(Assuntos_2025[[#This Row],[1° trim 2025]:[4° trim 2025]])</f>
        <v>0.5</v>
      </c>
      <c r="H169" s="165">
        <f>(Assuntos_2025[[#This Row],[Total]]/Assuntos_2025[[#Totals],[Total]])</f>
        <v>2.9605506624232107E-5</v>
      </c>
    </row>
    <row r="170" spans="1:8" ht="15" customHeight="1">
      <c r="A170" s="35" t="s">
        <v>216</v>
      </c>
      <c r="B170" s="117">
        <v>57</v>
      </c>
      <c r="C170" s="117">
        <v>55</v>
      </c>
      <c r="D170" s="117">
        <v>41</v>
      </c>
      <c r="E170" s="172">
        <v>15</v>
      </c>
      <c r="F170" s="173">
        <f>SUM(Assuntos_2025[[#This Row],[1° trim 2025]:[4° trim 2025]])</f>
        <v>168</v>
      </c>
      <c r="G170" s="21">
        <f>AVERAGE(Assuntos_2025[[#This Row],[1° trim 2025]:[4° trim 2025]])</f>
        <v>42</v>
      </c>
      <c r="H170" s="165">
        <f>(Assuntos_2025[[#This Row],[Total]]/Assuntos_2025[[#Totals],[Total]])</f>
        <v>2.4868625564354969E-3</v>
      </c>
    </row>
    <row r="171" spans="1:8" ht="15" customHeight="1">
      <c r="A171" s="35" t="s">
        <v>217</v>
      </c>
      <c r="B171" s="117">
        <v>647</v>
      </c>
      <c r="C171" s="117">
        <v>147</v>
      </c>
      <c r="D171" s="117">
        <v>112</v>
      </c>
      <c r="E171" s="172">
        <v>52</v>
      </c>
      <c r="F171" s="173">
        <f>SUM(Assuntos_2025[[#This Row],[1° trim 2025]:[4° trim 2025]])</f>
        <v>958</v>
      </c>
      <c r="G171" s="21">
        <f>AVERAGE(Assuntos_2025[[#This Row],[1° trim 2025]:[4° trim 2025]])</f>
        <v>239.5</v>
      </c>
      <c r="H171" s="165">
        <f>(Assuntos_2025[[#This Row],[Total]]/Assuntos_2025[[#Totals],[Total]])</f>
        <v>1.418103767300718E-2</v>
      </c>
    </row>
    <row r="172" spans="1:8" ht="15" customHeight="1">
      <c r="A172" s="43" t="s">
        <v>218</v>
      </c>
      <c r="B172" s="117">
        <v>13</v>
      </c>
      <c r="C172" s="117">
        <v>7</v>
      </c>
      <c r="D172" s="117">
        <v>10</v>
      </c>
      <c r="E172" s="172">
        <v>7</v>
      </c>
      <c r="F172" s="173">
        <f>SUM(Assuntos_2025[[#This Row],[1° trim 2025]:[4° trim 2025]])</f>
        <v>37</v>
      </c>
      <c r="G172" s="21">
        <f>AVERAGE(Assuntos_2025[[#This Row],[1° trim 2025]:[4° trim 2025]])</f>
        <v>9.25</v>
      </c>
      <c r="H172" s="165">
        <f>(Assuntos_2025[[#This Row],[Total]]/Assuntos_2025[[#Totals],[Total]])</f>
        <v>5.4770187254829397E-4</v>
      </c>
    </row>
    <row r="173" spans="1:8" ht="15" customHeight="1">
      <c r="A173" s="35" t="s">
        <v>219</v>
      </c>
      <c r="B173" s="117">
        <v>3</v>
      </c>
      <c r="C173" s="117">
        <v>7</v>
      </c>
      <c r="D173" s="117">
        <v>8</v>
      </c>
      <c r="E173" s="172">
        <v>0</v>
      </c>
      <c r="F173" s="173">
        <f>SUM(Assuntos_2025[[#This Row],[1° trim 2025]:[4° trim 2025]])</f>
        <v>18</v>
      </c>
      <c r="G173" s="21">
        <f>AVERAGE(Assuntos_2025[[#This Row],[1° trim 2025]:[4° trim 2025]])</f>
        <v>4.5</v>
      </c>
      <c r="H173" s="165">
        <f>(Assuntos_2025[[#This Row],[Total]]/Assuntos_2025[[#Totals],[Total]])</f>
        <v>2.6644955961808894E-4</v>
      </c>
    </row>
    <row r="174" spans="1:8" ht="15" customHeight="1">
      <c r="A174" s="35" t="s">
        <v>220</v>
      </c>
      <c r="B174" s="117">
        <v>0</v>
      </c>
      <c r="C174" s="117">
        <v>1</v>
      </c>
      <c r="D174" s="117">
        <v>0</v>
      </c>
      <c r="E174" s="172">
        <v>0</v>
      </c>
      <c r="F174" s="173">
        <f>SUM(Assuntos_2025[[#This Row],[1° trim 2025]:[4° trim 2025]])</f>
        <v>1</v>
      </c>
      <c r="G174" s="21">
        <f>AVERAGE(Assuntos_2025[[#This Row],[1° trim 2025]:[4° trim 2025]])</f>
        <v>0.25</v>
      </c>
      <c r="H174" s="165">
        <f>(Assuntos_2025[[#This Row],[Total]]/Assuntos_2025[[#Totals],[Total]])</f>
        <v>1.4802753312116054E-5</v>
      </c>
    </row>
    <row r="175" spans="1:8" ht="15" customHeight="1">
      <c r="A175" s="35" t="s">
        <v>221</v>
      </c>
      <c r="B175" s="117">
        <v>0</v>
      </c>
      <c r="C175" s="117">
        <v>1</v>
      </c>
      <c r="D175" s="117">
        <v>2</v>
      </c>
      <c r="E175" s="172">
        <v>2</v>
      </c>
      <c r="F175" s="173">
        <f>SUM(Assuntos_2025[[#This Row],[1° trim 2025]:[4° trim 2025]])</f>
        <v>5</v>
      </c>
      <c r="G175" s="21">
        <f>AVERAGE(Assuntos_2025[[#This Row],[1° trim 2025]:[4° trim 2025]])</f>
        <v>1.25</v>
      </c>
      <c r="H175" s="165">
        <f>(Assuntos_2025[[#This Row],[Total]]/Assuntos_2025[[#Totals],[Total]])</f>
        <v>7.4013766560580268E-5</v>
      </c>
    </row>
    <row r="176" spans="1:8" ht="15" customHeight="1">
      <c r="A176" s="35" t="s">
        <v>222</v>
      </c>
      <c r="B176" s="117">
        <v>4</v>
      </c>
      <c r="C176" s="117">
        <v>3</v>
      </c>
      <c r="D176" s="117">
        <v>2</v>
      </c>
      <c r="E176" s="172">
        <v>1</v>
      </c>
      <c r="F176" s="173">
        <f>SUM(Assuntos_2025[[#This Row],[1° trim 2025]:[4° trim 2025]])</f>
        <v>10</v>
      </c>
      <c r="G176" s="21">
        <f>AVERAGE(Assuntos_2025[[#This Row],[1° trim 2025]:[4° trim 2025]])</f>
        <v>2.5</v>
      </c>
      <c r="H176" s="165">
        <f>(Assuntos_2025[[#This Row],[Total]]/Assuntos_2025[[#Totals],[Total]])</f>
        <v>1.4802753312116054E-4</v>
      </c>
    </row>
    <row r="177" spans="1:8" ht="15" customHeight="1">
      <c r="A177" s="35" t="s">
        <v>223</v>
      </c>
      <c r="B177" s="117">
        <v>0</v>
      </c>
      <c r="C177" s="117">
        <v>1</v>
      </c>
      <c r="D177" s="117">
        <v>1</v>
      </c>
      <c r="E177" s="172">
        <v>0</v>
      </c>
      <c r="F177" s="173">
        <f>SUM(Assuntos_2025[[#This Row],[1° trim 2025]:[4° trim 2025]])</f>
        <v>2</v>
      </c>
      <c r="G177" s="21">
        <f>AVERAGE(Assuntos_2025[[#This Row],[1° trim 2025]:[4° trim 2025]])</f>
        <v>0.5</v>
      </c>
      <c r="H177" s="165">
        <f>(Assuntos_2025[[#This Row],[Total]]/Assuntos_2025[[#Totals],[Total]])</f>
        <v>2.9605506624232107E-5</v>
      </c>
    </row>
    <row r="178" spans="1:8" ht="15" customHeight="1">
      <c r="A178" s="35" t="s">
        <v>224</v>
      </c>
      <c r="B178" s="117">
        <v>2</v>
      </c>
      <c r="C178" s="117">
        <v>2</v>
      </c>
      <c r="D178" s="117">
        <v>5</v>
      </c>
      <c r="E178" s="172">
        <v>5</v>
      </c>
      <c r="F178" s="173">
        <f>SUM(Assuntos_2025[[#This Row],[1° trim 2025]:[4° trim 2025]])</f>
        <v>14</v>
      </c>
      <c r="G178" s="21">
        <f>AVERAGE(Assuntos_2025[[#This Row],[1° trim 2025]:[4° trim 2025]])</f>
        <v>3.5</v>
      </c>
      <c r="H178" s="165">
        <f>(Assuntos_2025[[#This Row],[Total]]/Assuntos_2025[[#Totals],[Total]])</f>
        <v>2.0723854636962475E-4</v>
      </c>
    </row>
    <row r="179" spans="1:8" ht="15" customHeight="1">
      <c r="A179" s="35" t="s">
        <v>225</v>
      </c>
      <c r="B179" s="117">
        <v>0</v>
      </c>
      <c r="C179" s="117">
        <v>0</v>
      </c>
      <c r="D179" s="117">
        <v>0</v>
      </c>
      <c r="E179" s="172">
        <v>0</v>
      </c>
      <c r="F179" s="173">
        <f>SUM(Assuntos_2025[[#This Row],[1° trim 2025]:[4° trim 2025]])</f>
        <v>0</v>
      </c>
      <c r="G179" s="21">
        <f>AVERAGE(Assuntos_2025[[#This Row],[1° trim 2025]:[4° trim 2025]])</f>
        <v>0</v>
      </c>
      <c r="H179" s="165">
        <f>(Assuntos_2025[[#This Row],[Total]]/Assuntos_2025[[#Totals],[Total]])</f>
        <v>0</v>
      </c>
    </row>
    <row r="180" spans="1:8" ht="15" customHeight="1">
      <c r="A180" s="35" t="s">
        <v>41</v>
      </c>
      <c r="B180" s="117">
        <v>372</v>
      </c>
      <c r="C180" s="117">
        <v>433</v>
      </c>
      <c r="D180" s="117">
        <v>1427</v>
      </c>
      <c r="E180" s="172">
        <v>1070</v>
      </c>
      <c r="F180" s="173">
        <f>SUM(Assuntos_2025[[#This Row],[1° trim 2025]:[4° trim 2025]])</f>
        <v>3302</v>
      </c>
      <c r="G180" s="21">
        <f>AVERAGE(Assuntos_2025[[#This Row],[1° trim 2025]:[4° trim 2025]])</f>
        <v>825.5</v>
      </c>
      <c r="H180" s="165">
        <f>(Assuntos_2025[[#This Row],[Total]]/Assuntos_2025[[#Totals],[Total]])</f>
        <v>4.8878691436607211E-2</v>
      </c>
    </row>
    <row r="181" spans="1:8" ht="15" customHeight="1">
      <c r="A181" s="35" t="s">
        <v>226</v>
      </c>
      <c r="B181" s="117">
        <v>0</v>
      </c>
      <c r="C181" s="117">
        <v>0</v>
      </c>
      <c r="D181" s="117">
        <v>0</v>
      </c>
      <c r="E181" s="172">
        <v>0</v>
      </c>
      <c r="F181" s="173">
        <f>SUM(Assuntos_2025[[#This Row],[1° trim 2025]:[4° trim 2025]])</f>
        <v>0</v>
      </c>
      <c r="G181" s="21">
        <f>AVERAGE(Assuntos_2025[[#This Row],[1° trim 2025]:[4° trim 2025]])</f>
        <v>0</v>
      </c>
      <c r="H181" s="165">
        <f>(Assuntos_2025[[#This Row],[Total]]/Assuntos_2025[[#Totals],[Total]])</f>
        <v>0</v>
      </c>
    </row>
    <row r="182" spans="1:8" ht="15" customHeight="1">
      <c r="A182" s="35" t="s">
        <v>227</v>
      </c>
      <c r="B182" s="117">
        <v>326</v>
      </c>
      <c r="C182" s="117">
        <v>203</v>
      </c>
      <c r="D182" s="117">
        <v>211</v>
      </c>
      <c r="E182" s="172">
        <v>149</v>
      </c>
      <c r="F182" s="173">
        <f>SUM(Assuntos_2025[[#This Row],[1° trim 2025]:[4° trim 2025]])</f>
        <v>889</v>
      </c>
      <c r="G182" s="21">
        <f>AVERAGE(Assuntos_2025[[#This Row],[1° trim 2025]:[4° trim 2025]])</f>
        <v>222.25</v>
      </c>
      <c r="H182" s="165">
        <f>(Assuntos_2025[[#This Row],[Total]]/Assuntos_2025[[#Totals],[Total]])</f>
        <v>1.3159647694471172E-2</v>
      </c>
    </row>
    <row r="183" spans="1:8" ht="15" customHeight="1">
      <c r="A183" s="35" t="s">
        <v>228</v>
      </c>
      <c r="B183" s="117">
        <v>51</v>
      </c>
      <c r="C183" s="117">
        <v>72</v>
      </c>
      <c r="D183" s="117">
        <v>65</v>
      </c>
      <c r="E183" s="172">
        <v>40</v>
      </c>
      <c r="F183" s="173">
        <f>SUM(Assuntos_2025[[#This Row],[1° trim 2025]:[4° trim 2025]])</f>
        <v>228</v>
      </c>
      <c r="G183" s="21">
        <f>AVERAGE(Assuntos_2025[[#This Row],[1° trim 2025]:[4° trim 2025]])</f>
        <v>57</v>
      </c>
      <c r="H183" s="165">
        <f>(Assuntos_2025[[#This Row],[Total]]/Assuntos_2025[[#Totals],[Total]])</f>
        <v>3.3750277551624604E-3</v>
      </c>
    </row>
    <row r="184" spans="1:8" ht="15" customHeight="1">
      <c r="A184" s="35" t="s">
        <v>229</v>
      </c>
      <c r="B184" s="117">
        <v>2</v>
      </c>
      <c r="C184" s="117">
        <v>1</v>
      </c>
      <c r="D184" s="117">
        <v>1</v>
      </c>
      <c r="E184" s="172">
        <v>1</v>
      </c>
      <c r="F184" s="173">
        <f>SUM(Assuntos_2025[[#This Row],[1° trim 2025]:[4° trim 2025]])</f>
        <v>5</v>
      </c>
      <c r="G184" s="21">
        <f>AVERAGE(Assuntos_2025[[#This Row],[1° trim 2025]:[4° trim 2025]])</f>
        <v>1.25</v>
      </c>
      <c r="H184" s="165">
        <f>(Assuntos_2025[[#This Row],[Total]]/Assuntos_2025[[#Totals],[Total]])</f>
        <v>7.4013766560580268E-5</v>
      </c>
    </row>
    <row r="185" spans="1:8" ht="15" customHeight="1">
      <c r="A185" s="43" t="s">
        <v>230</v>
      </c>
      <c r="B185" s="117">
        <v>0</v>
      </c>
      <c r="C185" s="117">
        <v>2</v>
      </c>
      <c r="D185" s="117">
        <v>3</v>
      </c>
      <c r="E185" s="172">
        <v>1</v>
      </c>
      <c r="F185" s="173">
        <f>SUM(Assuntos_2025[[#This Row],[1° trim 2025]:[4° trim 2025]])</f>
        <v>6</v>
      </c>
      <c r="G185" s="21">
        <f>AVERAGE(Assuntos_2025[[#This Row],[1° trim 2025]:[4° trim 2025]])</f>
        <v>1.5</v>
      </c>
      <c r="H185" s="165">
        <f>(Assuntos_2025[[#This Row],[Total]]/Assuntos_2025[[#Totals],[Total]])</f>
        <v>8.8816519872696322E-5</v>
      </c>
    </row>
    <row r="186" spans="1:8" ht="15" customHeight="1">
      <c r="A186" s="35" t="s">
        <v>231</v>
      </c>
      <c r="B186" s="117">
        <v>14</v>
      </c>
      <c r="C186" s="117">
        <v>14</v>
      </c>
      <c r="D186" s="117">
        <v>4</v>
      </c>
      <c r="E186" s="172">
        <v>6</v>
      </c>
      <c r="F186" s="173">
        <f>SUM(Assuntos_2025[[#This Row],[1° trim 2025]:[4° trim 2025]])</f>
        <v>38</v>
      </c>
      <c r="G186" s="21">
        <f>AVERAGE(Assuntos_2025[[#This Row],[1° trim 2025]:[4° trim 2025]])</f>
        <v>9.5</v>
      </c>
      <c r="H186" s="165">
        <f>(Assuntos_2025[[#This Row],[Total]]/Assuntos_2025[[#Totals],[Total]])</f>
        <v>5.6250462586041007E-4</v>
      </c>
    </row>
    <row r="187" spans="1:8" ht="15" customHeight="1">
      <c r="A187" s="35" t="s">
        <v>45</v>
      </c>
      <c r="B187" s="117">
        <v>865</v>
      </c>
      <c r="C187" s="117">
        <v>797</v>
      </c>
      <c r="D187" s="117">
        <v>658</v>
      </c>
      <c r="E187" s="172">
        <v>603</v>
      </c>
      <c r="F187" s="173">
        <f>SUM(Assuntos_2025[[#This Row],[1° trim 2025]:[4° trim 2025]])</f>
        <v>2923</v>
      </c>
      <c r="G187" s="21">
        <f>AVERAGE(Assuntos_2025[[#This Row],[1° trim 2025]:[4° trim 2025]])</f>
        <v>730.75</v>
      </c>
      <c r="H187" s="165">
        <f>(Assuntos_2025[[#This Row],[Total]]/Assuntos_2025[[#Totals],[Total]])</f>
        <v>4.3268447931315228E-2</v>
      </c>
    </row>
    <row r="188" spans="1:8" ht="15" customHeight="1">
      <c r="A188" s="35" t="s">
        <v>232</v>
      </c>
      <c r="B188" s="117">
        <v>97</v>
      </c>
      <c r="C188" s="117">
        <v>82</v>
      </c>
      <c r="D188" s="117">
        <v>81</v>
      </c>
      <c r="E188" s="172">
        <v>79</v>
      </c>
      <c r="F188" s="173">
        <f>SUM(Assuntos_2025[[#This Row],[1° trim 2025]:[4° trim 2025]])</f>
        <v>339</v>
      </c>
      <c r="G188" s="21">
        <f>AVERAGE(Assuntos_2025[[#This Row],[1° trim 2025]:[4° trim 2025]])</f>
        <v>84.75</v>
      </c>
      <c r="H188" s="165">
        <f>(Assuntos_2025[[#This Row],[Total]]/Assuntos_2025[[#Totals],[Total]])</f>
        <v>5.0181333728073424E-3</v>
      </c>
    </row>
    <row r="189" spans="1:8" ht="15" customHeight="1">
      <c r="A189" s="35" t="s">
        <v>233</v>
      </c>
      <c r="B189" s="117">
        <v>0</v>
      </c>
      <c r="C189" s="117">
        <v>0</v>
      </c>
      <c r="D189" s="117">
        <v>1</v>
      </c>
      <c r="E189" s="172">
        <v>0</v>
      </c>
      <c r="F189" s="173">
        <f>SUM(Assuntos_2025[[#This Row],[1° trim 2025]:[4° trim 2025]])</f>
        <v>1</v>
      </c>
      <c r="G189" s="21">
        <f>AVERAGE(Assuntos_2025[[#This Row],[1° trim 2025]:[4° trim 2025]])</f>
        <v>0.25</v>
      </c>
      <c r="H189" s="165">
        <f>(Assuntos_2025[[#This Row],[Total]]/Assuntos_2025[[#Totals],[Total]])</f>
        <v>1.4802753312116054E-5</v>
      </c>
    </row>
    <row r="190" spans="1:8" ht="15" customHeight="1">
      <c r="A190" s="35" t="s">
        <v>234</v>
      </c>
      <c r="B190" s="117">
        <v>5</v>
      </c>
      <c r="C190" s="117">
        <v>7</v>
      </c>
      <c r="D190" s="117">
        <v>10</v>
      </c>
      <c r="E190" s="172">
        <v>3</v>
      </c>
      <c r="F190" s="173">
        <f>SUM(Assuntos_2025[[#This Row],[1° trim 2025]:[4° trim 2025]])</f>
        <v>25</v>
      </c>
      <c r="G190" s="21">
        <f>AVERAGE(Assuntos_2025[[#This Row],[1° trim 2025]:[4° trim 2025]])</f>
        <v>6.25</v>
      </c>
      <c r="H190" s="165">
        <f>(Assuntos_2025[[#This Row],[Total]]/Assuntos_2025[[#Totals],[Total]])</f>
        <v>3.7006883280290133E-4</v>
      </c>
    </row>
    <row r="191" spans="1:8" ht="15" customHeight="1">
      <c r="A191" s="43" t="s">
        <v>48</v>
      </c>
      <c r="B191" s="117">
        <v>1103</v>
      </c>
      <c r="C191" s="117">
        <v>1197</v>
      </c>
      <c r="D191" s="117">
        <v>628</v>
      </c>
      <c r="E191" s="172">
        <v>488</v>
      </c>
      <c r="F191" s="173">
        <f>SUM(Assuntos_2025[[#This Row],[1° trim 2025]:[4° trim 2025]])</f>
        <v>3416</v>
      </c>
      <c r="G191" s="21">
        <f>AVERAGE(Assuntos_2025[[#This Row],[1° trim 2025]:[4° trim 2025]])</f>
        <v>854</v>
      </c>
      <c r="H191" s="165">
        <f>(Assuntos_2025[[#This Row],[Total]]/Assuntos_2025[[#Totals],[Total]])</f>
        <v>5.0566205314188442E-2</v>
      </c>
    </row>
    <row r="192" spans="1:8" ht="15" customHeight="1">
      <c r="A192" s="35" t="s">
        <v>235</v>
      </c>
      <c r="B192" s="117">
        <v>184</v>
      </c>
      <c r="C192" s="117">
        <v>96</v>
      </c>
      <c r="D192" s="117">
        <v>118</v>
      </c>
      <c r="E192" s="172">
        <v>262</v>
      </c>
      <c r="F192" s="173">
        <f>SUM(Assuntos_2025[[#This Row],[1° trim 2025]:[4° trim 2025]])</f>
        <v>660</v>
      </c>
      <c r="G192" s="21">
        <f>AVERAGE(Assuntos_2025[[#This Row],[1° trim 2025]:[4° trim 2025]])</f>
        <v>165</v>
      </c>
      <c r="H192" s="165">
        <f>(Assuntos_2025[[#This Row],[Total]]/Assuntos_2025[[#Totals],[Total]])</f>
        <v>9.7698171859965949E-3</v>
      </c>
    </row>
    <row r="193" spans="1:8" ht="15" customHeight="1">
      <c r="A193" s="35" t="s">
        <v>236</v>
      </c>
      <c r="B193" s="117">
        <v>24</v>
      </c>
      <c r="C193" s="117">
        <v>12</v>
      </c>
      <c r="D193" s="117">
        <v>9</v>
      </c>
      <c r="E193" s="172">
        <v>23</v>
      </c>
      <c r="F193" s="173">
        <f>SUM(Assuntos_2025[[#This Row],[1° trim 2025]:[4° trim 2025]])</f>
        <v>68</v>
      </c>
      <c r="G193" s="21">
        <f>AVERAGE(Assuntos_2025[[#This Row],[1° trim 2025]:[4° trim 2025]])</f>
        <v>17</v>
      </c>
      <c r="H193" s="165">
        <f>(Assuntos_2025[[#This Row],[Total]]/Assuntos_2025[[#Totals],[Total]])</f>
        <v>1.0065872252238916E-3</v>
      </c>
    </row>
    <row r="194" spans="1:8" s="57" customFormat="1" ht="15" customHeight="1">
      <c r="A194" s="35" t="s">
        <v>237</v>
      </c>
      <c r="B194" s="117">
        <v>70</v>
      </c>
      <c r="C194" s="117">
        <v>43</v>
      </c>
      <c r="D194" s="117">
        <v>53</v>
      </c>
      <c r="E194" s="172">
        <v>31</v>
      </c>
      <c r="F194" s="173">
        <f>SUM(Assuntos_2025[[#This Row],[1° trim 2025]:[4° trim 2025]])</f>
        <v>197</v>
      </c>
      <c r="G194" s="21">
        <f>AVERAGE(Assuntos_2025[[#This Row],[1° trim 2025]:[4° trim 2025]])</f>
        <v>49.25</v>
      </c>
      <c r="H194" s="165">
        <f>(Assuntos_2025[[#This Row],[Total]]/Assuntos_2025[[#Totals],[Total]])</f>
        <v>2.9161424024868625E-3</v>
      </c>
    </row>
    <row r="195" spans="1:8" s="57" customFormat="1" ht="15" customHeight="1">
      <c r="A195" s="35" t="s">
        <v>238</v>
      </c>
      <c r="B195" s="117">
        <v>1</v>
      </c>
      <c r="C195" s="117">
        <v>3</v>
      </c>
      <c r="D195" s="117">
        <v>1</v>
      </c>
      <c r="E195" s="172">
        <v>6</v>
      </c>
      <c r="F195" s="173">
        <f>SUM(Assuntos_2025[[#This Row],[1° trim 2025]:[4° trim 2025]])</f>
        <v>11</v>
      </c>
      <c r="G195" s="21">
        <f>AVERAGE(Assuntos_2025[[#This Row],[1° trim 2025]:[4° trim 2025]])</f>
        <v>2.75</v>
      </c>
      <c r="H195" s="165">
        <f>(Assuntos_2025[[#This Row],[Total]]/Assuntos_2025[[#Totals],[Total]])</f>
        <v>1.6283028643327658E-4</v>
      </c>
    </row>
    <row r="196" spans="1:8" ht="15" customHeight="1">
      <c r="A196" s="35" t="s">
        <v>239</v>
      </c>
      <c r="B196" s="117">
        <v>0</v>
      </c>
      <c r="C196" s="117">
        <v>0</v>
      </c>
      <c r="D196" s="117">
        <v>0</v>
      </c>
      <c r="E196" s="172">
        <v>0</v>
      </c>
      <c r="F196" s="173">
        <f>SUM(Assuntos_2025[[#This Row],[1° trim 2025]:[4° trim 2025]])</f>
        <v>0</v>
      </c>
      <c r="G196" s="21">
        <f>AVERAGE(Assuntos_2025[[#This Row],[1° trim 2025]:[4° trim 2025]])</f>
        <v>0</v>
      </c>
      <c r="H196" s="165">
        <f>(Assuntos_2025[[#This Row],[Total]]/Assuntos_2025[[#Totals],[Total]])</f>
        <v>0</v>
      </c>
    </row>
    <row r="197" spans="1:8" ht="15" customHeight="1">
      <c r="A197" s="35" t="s">
        <v>240</v>
      </c>
      <c r="B197" s="117">
        <v>4</v>
      </c>
      <c r="C197" s="117">
        <v>3</v>
      </c>
      <c r="D197" s="117">
        <v>3</v>
      </c>
      <c r="E197" s="172">
        <v>2</v>
      </c>
      <c r="F197" s="173">
        <f>SUM(Assuntos_2025[[#This Row],[1° trim 2025]:[4° trim 2025]])</f>
        <v>12</v>
      </c>
      <c r="G197" s="21">
        <f>AVERAGE(Assuntos_2025[[#This Row],[1° trim 2025]:[4° trim 2025]])</f>
        <v>3</v>
      </c>
      <c r="H197" s="165">
        <f>(Assuntos_2025[[#This Row],[Total]]/Assuntos_2025[[#Totals],[Total]])</f>
        <v>1.7763303974539264E-4</v>
      </c>
    </row>
    <row r="198" spans="1:8" ht="15" customHeight="1">
      <c r="A198" s="35" t="s">
        <v>241</v>
      </c>
      <c r="B198" s="117">
        <v>2</v>
      </c>
      <c r="C198" s="117">
        <v>2</v>
      </c>
      <c r="D198" s="117">
        <v>4</v>
      </c>
      <c r="E198" s="172">
        <v>3</v>
      </c>
      <c r="F198" s="173">
        <f>SUM(Assuntos_2025[[#This Row],[1° trim 2025]:[4° trim 2025]])</f>
        <v>11</v>
      </c>
      <c r="G198" s="21">
        <f>AVERAGE(Assuntos_2025[[#This Row],[1° trim 2025]:[4° trim 2025]])</f>
        <v>2.75</v>
      </c>
      <c r="H198" s="165">
        <f>(Assuntos_2025[[#This Row],[Total]]/Assuntos_2025[[#Totals],[Total]])</f>
        <v>1.6283028643327658E-4</v>
      </c>
    </row>
    <row r="199" spans="1:8" ht="15" customHeight="1">
      <c r="A199" s="43" t="s">
        <v>242</v>
      </c>
      <c r="B199" s="117">
        <v>41</v>
      </c>
      <c r="C199" s="117">
        <v>38</v>
      </c>
      <c r="D199" s="117">
        <v>51</v>
      </c>
      <c r="E199" s="172">
        <v>22</v>
      </c>
      <c r="F199" s="173">
        <f>SUM(Assuntos_2025[[#This Row],[1° trim 2025]:[4° trim 2025]])</f>
        <v>152</v>
      </c>
      <c r="G199" s="21">
        <f>AVERAGE(Assuntos_2025[[#This Row],[1° trim 2025]:[4° trim 2025]])</f>
        <v>38</v>
      </c>
      <c r="H199" s="165">
        <f>(Assuntos_2025[[#This Row],[Total]]/Assuntos_2025[[#Totals],[Total]])</f>
        <v>2.2500185034416403E-3</v>
      </c>
    </row>
    <row r="200" spans="1:8" ht="15" customHeight="1">
      <c r="A200" s="43" t="s">
        <v>243</v>
      </c>
      <c r="B200" s="117">
        <v>0</v>
      </c>
      <c r="C200" s="117">
        <v>0</v>
      </c>
      <c r="D200" s="117">
        <v>0</v>
      </c>
      <c r="E200" s="172">
        <v>0</v>
      </c>
      <c r="F200" s="173">
        <f>SUM(Assuntos_2025[[#This Row],[1° trim 2025]:[4° trim 2025]])</f>
        <v>0</v>
      </c>
      <c r="G200" s="21">
        <f>AVERAGE(Assuntos_2025[[#This Row],[1° trim 2025]:[4° trim 2025]])</f>
        <v>0</v>
      </c>
      <c r="H200" s="165">
        <f>(Assuntos_2025[[#This Row],[Total]]/Assuntos_2025[[#Totals],[Total]])</f>
        <v>0</v>
      </c>
    </row>
    <row r="201" spans="1:8" ht="15" customHeight="1">
      <c r="A201" s="43" t="s">
        <v>244</v>
      </c>
      <c r="B201" s="117">
        <v>35</v>
      </c>
      <c r="C201" s="117">
        <v>32</v>
      </c>
      <c r="D201" s="117">
        <v>48</v>
      </c>
      <c r="E201" s="172">
        <v>35</v>
      </c>
      <c r="F201" s="173">
        <f>SUM(Assuntos_2025[[#This Row],[1° trim 2025]:[4° trim 2025]])</f>
        <v>150</v>
      </c>
      <c r="G201" s="21">
        <f>AVERAGE(Assuntos_2025[[#This Row],[1° trim 2025]:[4° trim 2025]])</f>
        <v>37.5</v>
      </c>
      <c r="H201" s="165">
        <f>(Assuntos_2025[[#This Row],[Total]]/Assuntos_2025[[#Totals],[Total]])</f>
        <v>2.2204129968174079E-3</v>
      </c>
    </row>
    <row r="202" spans="1:8" ht="15" customHeight="1">
      <c r="A202" s="35" t="s">
        <v>49</v>
      </c>
      <c r="B202" s="117">
        <v>555</v>
      </c>
      <c r="C202" s="117">
        <v>550</v>
      </c>
      <c r="D202" s="117">
        <v>534</v>
      </c>
      <c r="E202" s="172">
        <v>414</v>
      </c>
      <c r="F202" s="173">
        <f>SUM(Assuntos_2025[[#This Row],[1° trim 2025]:[4° trim 2025]])</f>
        <v>2053</v>
      </c>
      <c r="G202" s="21">
        <f>AVERAGE(Assuntos_2025[[#This Row],[1° trim 2025]:[4° trim 2025]])</f>
        <v>513.25</v>
      </c>
      <c r="H202" s="165">
        <f>(Assuntos_2025[[#This Row],[Total]]/Assuntos_2025[[#Totals],[Total]])</f>
        <v>3.0390052549774258E-2</v>
      </c>
    </row>
    <row r="203" spans="1:8" ht="15" customHeight="1">
      <c r="A203" s="35" t="s">
        <v>50</v>
      </c>
      <c r="B203" s="117">
        <v>818</v>
      </c>
      <c r="C203" s="117">
        <v>438</v>
      </c>
      <c r="D203" s="117">
        <v>349</v>
      </c>
      <c r="E203" s="172">
        <v>511</v>
      </c>
      <c r="F203" s="173">
        <f>SUM(Assuntos_2025[[#This Row],[1° trim 2025]:[4° trim 2025]])</f>
        <v>2116</v>
      </c>
      <c r="G203" s="21">
        <f>AVERAGE(Assuntos_2025[[#This Row],[1° trim 2025]:[4° trim 2025]])</f>
        <v>529</v>
      </c>
      <c r="H203" s="165">
        <f>(Assuntos_2025[[#This Row],[Total]]/Assuntos_2025[[#Totals],[Total]])</f>
        <v>3.1322626008437569E-2</v>
      </c>
    </row>
    <row r="204" spans="1:8" ht="15" customHeight="1">
      <c r="A204" s="35" t="s">
        <v>245</v>
      </c>
      <c r="B204" s="117">
        <v>95</v>
      </c>
      <c r="C204" s="117">
        <v>72</v>
      </c>
      <c r="D204" s="117">
        <v>101</v>
      </c>
      <c r="E204" s="172">
        <v>71</v>
      </c>
      <c r="F204" s="173">
        <f>SUM(Assuntos_2025[[#This Row],[1° trim 2025]:[4° trim 2025]])</f>
        <v>339</v>
      </c>
      <c r="G204" s="21">
        <f>AVERAGE(Assuntos_2025[[#This Row],[1° trim 2025]:[4° trim 2025]])</f>
        <v>84.75</v>
      </c>
      <c r="H204" s="165">
        <f>(Assuntos_2025[[#This Row],[Total]]/Assuntos_2025[[#Totals],[Total]])</f>
        <v>5.0181333728073424E-3</v>
      </c>
    </row>
    <row r="205" spans="1:8" ht="15" customHeight="1">
      <c r="A205" s="43" t="s">
        <v>246</v>
      </c>
      <c r="B205" s="117">
        <v>43</v>
      </c>
      <c r="C205" s="117">
        <v>32</v>
      </c>
      <c r="D205" s="117">
        <v>29</v>
      </c>
      <c r="E205" s="172">
        <v>29</v>
      </c>
      <c r="F205" s="173">
        <f>SUM(Assuntos_2025[[#This Row],[1° trim 2025]:[4° trim 2025]])</f>
        <v>133</v>
      </c>
      <c r="G205" s="21">
        <f>AVERAGE(Assuntos_2025[[#This Row],[1° trim 2025]:[4° trim 2025]])</f>
        <v>33.25</v>
      </c>
      <c r="H205" s="165">
        <f>(Assuntos_2025[[#This Row],[Total]]/Assuntos_2025[[#Totals],[Total]])</f>
        <v>1.968766190511435E-3</v>
      </c>
    </row>
    <row r="206" spans="1:8" ht="15" customHeight="1">
      <c r="A206" s="43" t="s">
        <v>247</v>
      </c>
      <c r="B206" s="117">
        <v>72</v>
      </c>
      <c r="C206" s="117">
        <v>59</v>
      </c>
      <c r="D206" s="117">
        <v>38</v>
      </c>
      <c r="E206" s="172">
        <v>49</v>
      </c>
      <c r="F206" s="173">
        <f>SUM(Assuntos_2025[[#This Row],[1° trim 2025]:[4° trim 2025]])</f>
        <v>218</v>
      </c>
      <c r="G206" s="21">
        <f>AVERAGE(Assuntos_2025[[#This Row],[1° trim 2025]:[4° trim 2025]])</f>
        <v>54.5</v>
      </c>
      <c r="H206" s="165">
        <f>(Assuntos_2025[[#This Row],[Total]]/Assuntos_2025[[#Totals],[Total]])</f>
        <v>3.2270002220412997E-3</v>
      </c>
    </row>
    <row r="207" spans="1:8" ht="15" customHeight="1">
      <c r="A207" s="43" t="s">
        <v>248</v>
      </c>
      <c r="B207" s="117">
        <v>21</v>
      </c>
      <c r="C207" s="117">
        <v>34</v>
      </c>
      <c r="D207" s="117">
        <v>1</v>
      </c>
      <c r="E207" s="172">
        <v>5</v>
      </c>
      <c r="F207" s="173">
        <f>SUM(Assuntos_2025[[#This Row],[1° trim 2025]:[4° trim 2025]])</f>
        <v>61</v>
      </c>
      <c r="G207" s="21">
        <f>AVERAGE(Assuntos_2025[[#This Row],[1° trim 2025]:[4° trim 2025]])</f>
        <v>15.25</v>
      </c>
      <c r="H207" s="165">
        <f>(Assuntos_2025[[#This Row],[Total]]/Assuntos_2025[[#Totals],[Total]])</f>
        <v>9.0296795203907926E-4</v>
      </c>
    </row>
    <row r="208" spans="1:8" ht="15" customHeight="1">
      <c r="A208" s="35" t="s">
        <v>43</v>
      </c>
      <c r="B208" s="117">
        <v>676</v>
      </c>
      <c r="C208" s="117">
        <v>677</v>
      </c>
      <c r="D208" s="117">
        <v>795</v>
      </c>
      <c r="E208" s="172">
        <v>599</v>
      </c>
      <c r="F208" s="173">
        <f>SUM(Assuntos_2025[[#This Row],[1° trim 2025]:[4° trim 2025]])</f>
        <v>2747</v>
      </c>
      <c r="G208" s="21">
        <f>AVERAGE(Assuntos_2025[[#This Row],[1° trim 2025]:[4° trim 2025]])</f>
        <v>686.75</v>
      </c>
      <c r="H208" s="165">
        <f>(Assuntos_2025[[#This Row],[Total]]/Assuntos_2025[[#Totals],[Total]])</f>
        <v>4.0663163348382797E-2</v>
      </c>
    </row>
    <row r="209" spans="1:8" ht="15" customHeight="1">
      <c r="A209" s="35" t="s">
        <v>249</v>
      </c>
      <c r="B209" s="117">
        <v>0</v>
      </c>
      <c r="C209" s="117">
        <v>0</v>
      </c>
      <c r="D209" s="117">
        <v>2</v>
      </c>
      <c r="E209" s="172">
        <v>2</v>
      </c>
      <c r="F209" s="173">
        <f>SUM(Assuntos_2025[[#This Row],[1° trim 2025]:[4° trim 2025]])</f>
        <v>4</v>
      </c>
      <c r="G209" s="21">
        <f>AVERAGE(Assuntos_2025[[#This Row],[1° trim 2025]:[4° trim 2025]])</f>
        <v>1</v>
      </c>
      <c r="H209" s="165">
        <f>(Assuntos_2025[[#This Row],[Total]]/Assuntos_2025[[#Totals],[Total]])</f>
        <v>5.9211013248464215E-5</v>
      </c>
    </row>
    <row r="210" spans="1:8" ht="15" customHeight="1">
      <c r="A210" s="35" t="s">
        <v>250</v>
      </c>
      <c r="B210" s="117">
        <v>55</v>
      </c>
      <c r="C210" s="117">
        <v>51</v>
      </c>
      <c r="D210" s="117">
        <v>67</v>
      </c>
      <c r="E210" s="172">
        <v>35</v>
      </c>
      <c r="F210" s="173">
        <f>SUM(Assuntos_2025[[#This Row],[1° trim 2025]:[4° trim 2025]])</f>
        <v>208</v>
      </c>
      <c r="G210" s="21">
        <f>AVERAGE(Assuntos_2025[[#This Row],[1° trim 2025]:[4° trim 2025]])</f>
        <v>52</v>
      </c>
      <c r="H210" s="165">
        <f>(Assuntos_2025[[#This Row],[Total]]/Assuntos_2025[[#Totals],[Total]])</f>
        <v>3.078972688920139E-3</v>
      </c>
    </row>
    <row r="211" spans="1:8" ht="15" customHeight="1">
      <c r="A211" s="35" t="s">
        <v>251</v>
      </c>
      <c r="B211" s="117">
        <v>0</v>
      </c>
      <c r="C211" s="117">
        <v>0</v>
      </c>
      <c r="D211" s="117">
        <v>0</v>
      </c>
      <c r="E211" s="172">
        <v>0</v>
      </c>
      <c r="F211" s="173">
        <f>SUM(Assuntos_2025[[#This Row],[1° trim 2025]:[4° trim 2025]])</f>
        <v>0</v>
      </c>
      <c r="G211" s="21">
        <f>AVERAGE(Assuntos_2025[[#This Row],[1° trim 2025]:[4° trim 2025]])</f>
        <v>0</v>
      </c>
      <c r="H211" s="165">
        <f>(Assuntos_2025[[#This Row],[Total]]/Assuntos_2025[[#Totals],[Total]])</f>
        <v>0</v>
      </c>
    </row>
    <row r="212" spans="1:8" ht="15" customHeight="1">
      <c r="A212" s="35" t="s">
        <v>252</v>
      </c>
      <c r="B212" s="117">
        <v>1</v>
      </c>
      <c r="C212" s="117">
        <v>1</v>
      </c>
      <c r="D212" s="117">
        <v>0</v>
      </c>
      <c r="E212" s="172">
        <v>0</v>
      </c>
      <c r="F212" s="173">
        <f>SUM(Assuntos_2025[[#This Row],[1° trim 2025]:[4° trim 2025]])</f>
        <v>2</v>
      </c>
      <c r="G212" s="21">
        <f>AVERAGE(Assuntos_2025[[#This Row],[1° trim 2025]:[4° trim 2025]])</f>
        <v>0.5</v>
      </c>
      <c r="H212" s="165">
        <f>(Assuntos_2025[[#This Row],[Total]]/Assuntos_2025[[#Totals],[Total]])</f>
        <v>2.9605506624232107E-5</v>
      </c>
    </row>
    <row r="213" spans="1:8" ht="15" customHeight="1">
      <c r="A213" s="35" t="s">
        <v>253</v>
      </c>
      <c r="B213" s="117">
        <v>32</v>
      </c>
      <c r="C213" s="117">
        <v>31</v>
      </c>
      <c r="D213" s="117">
        <v>39</v>
      </c>
      <c r="E213" s="172">
        <v>31</v>
      </c>
      <c r="F213" s="173">
        <f>SUM(Assuntos_2025[[#This Row],[1° trim 2025]:[4° trim 2025]])</f>
        <v>133</v>
      </c>
      <c r="G213" s="21">
        <f>AVERAGE(Assuntos_2025[[#This Row],[1° trim 2025]:[4° trim 2025]])</f>
        <v>33.25</v>
      </c>
      <c r="H213" s="165">
        <f>(Assuntos_2025[[#This Row],[Total]]/Assuntos_2025[[#Totals],[Total]])</f>
        <v>1.968766190511435E-3</v>
      </c>
    </row>
    <row r="214" spans="1:8" ht="15" customHeight="1">
      <c r="A214" s="43" t="s">
        <v>42</v>
      </c>
      <c r="B214" s="117">
        <v>811</v>
      </c>
      <c r="C214" s="117">
        <v>977</v>
      </c>
      <c r="D214" s="117">
        <v>926</v>
      </c>
      <c r="E214" s="172">
        <v>937</v>
      </c>
      <c r="F214" s="173">
        <f>SUM(Assuntos_2025[[#This Row],[1° trim 2025]:[4° trim 2025]])</f>
        <v>3651</v>
      </c>
      <c r="G214" s="21">
        <f>AVERAGE(Assuntos_2025[[#This Row],[1° trim 2025]:[4° trim 2025]])</f>
        <v>912.75</v>
      </c>
      <c r="H214" s="165">
        <f>(Assuntos_2025[[#This Row],[Total]]/Assuntos_2025[[#Totals],[Total]])</f>
        <v>5.4044852342535712E-2</v>
      </c>
    </row>
    <row r="215" spans="1:8" ht="15" customHeight="1">
      <c r="A215" s="35" t="s">
        <v>254</v>
      </c>
      <c r="B215" s="117">
        <v>0</v>
      </c>
      <c r="C215" s="117">
        <v>0</v>
      </c>
      <c r="D215" s="117">
        <v>0</v>
      </c>
      <c r="E215" s="172">
        <v>0</v>
      </c>
      <c r="F215" s="173">
        <f>SUM(Assuntos_2025[[#This Row],[1° trim 2025]:[4° trim 2025]])</f>
        <v>0</v>
      </c>
      <c r="G215" s="21">
        <f>AVERAGE(Assuntos_2025[[#This Row],[1° trim 2025]:[4° trim 2025]])</f>
        <v>0</v>
      </c>
      <c r="H215" s="165">
        <f>(Assuntos_2025[[#This Row],[Total]]/Assuntos_2025[[#Totals],[Total]])</f>
        <v>0</v>
      </c>
    </row>
    <row r="216" spans="1:8" ht="15" customHeight="1">
      <c r="A216" s="35" t="s">
        <v>255</v>
      </c>
      <c r="B216" s="117">
        <v>0</v>
      </c>
      <c r="C216" s="117">
        <v>0</v>
      </c>
      <c r="D216" s="117">
        <v>0</v>
      </c>
      <c r="E216" s="172">
        <v>2</v>
      </c>
      <c r="F216" s="173">
        <f>SUM(Assuntos_2025[[#This Row],[1° trim 2025]:[4° trim 2025]])</f>
        <v>2</v>
      </c>
      <c r="G216" s="21">
        <f>AVERAGE(Assuntos_2025[[#This Row],[1° trim 2025]:[4° trim 2025]])</f>
        <v>0.5</v>
      </c>
      <c r="H216" s="165">
        <f>(Assuntos_2025[[#This Row],[Total]]/Assuntos_2025[[#Totals],[Total]])</f>
        <v>2.9605506624232107E-5</v>
      </c>
    </row>
    <row r="217" spans="1:8" ht="15" customHeight="1">
      <c r="A217" s="35" t="s">
        <v>256</v>
      </c>
      <c r="B217" s="117">
        <v>27</v>
      </c>
      <c r="C217" s="117">
        <v>14</v>
      </c>
      <c r="D217" s="117">
        <v>8</v>
      </c>
      <c r="E217" s="172">
        <v>6</v>
      </c>
      <c r="F217" s="173">
        <f>SUM(Assuntos_2025[[#This Row],[1° trim 2025]:[4° trim 2025]])</f>
        <v>55</v>
      </c>
      <c r="G217" s="21">
        <f>AVERAGE(Assuntos_2025[[#This Row],[1° trim 2025]:[4° trim 2025]])</f>
        <v>13.75</v>
      </c>
      <c r="H217" s="165">
        <f>(Assuntos_2025[[#This Row],[Total]]/Assuntos_2025[[#Totals],[Total]])</f>
        <v>8.1415143216638291E-4</v>
      </c>
    </row>
    <row r="218" spans="1:8" ht="15" customHeight="1">
      <c r="A218" s="43" t="s">
        <v>257</v>
      </c>
      <c r="B218" s="117">
        <v>8</v>
      </c>
      <c r="C218" s="117">
        <v>5</v>
      </c>
      <c r="D218" s="117">
        <v>5</v>
      </c>
      <c r="E218" s="172">
        <v>2</v>
      </c>
      <c r="F218" s="173">
        <f>SUM(Assuntos_2025[[#This Row],[1° trim 2025]:[4° trim 2025]])</f>
        <v>20</v>
      </c>
      <c r="G218" s="21">
        <f>AVERAGE(Assuntos_2025[[#This Row],[1° trim 2025]:[4° trim 2025]])</f>
        <v>5</v>
      </c>
      <c r="H218" s="165">
        <f>(Assuntos_2025[[#This Row],[Total]]/Assuntos_2025[[#Totals],[Total]])</f>
        <v>2.9605506624232107E-4</v>
      </c>
    </row>
    <row r="219" spans="1:8" ht="15" customHeight="1">
      <c r="A219" s="35" t="s">
        <v>258</v>
      </c>
      <c r="B219" s="117">
        <v>103</v>
      </c>
      <c r="C219" s="117">
        <v>72</v>
      </c>
      <c r="D219" s="117">
        <v>49</v>
      </c>
      <c r="E219" s="172">
        <v>138</v>
      </c>
      <c r="F219" s="173">
        <f>SUM(Assuntos_2025[[#This Row],[1° trim 2025]:[4° trim 2025]])</f>
        <v>362</v>
      </c>
      <c r="G219" s="21">
        <f>AVERAGE(Assuntos_2025[[#This Row],[1° trim 2025]:[4° trim 2025]])</f>
        <v>90.5</v>
      </c>
      <c r="H219" s="165">
        <f>(Assuntos_2025[[#This Row],[Total]]/Assuntos_2025[[#Totals],[Total]])</f>
        <v>5.3585966989860116E-3</v>
      </c>
    </row>
    <row r="220" spans="1:8" ht="15" customHeight="1">
      <c r="A220" s="35" t="s">
        <v>259</v>
      </c>
      <c r="B220" s="117">
        <v>0</v>
      </c>
      <c r="C220" s="117">
        <v>0</v>
      </c>
      <c r="D220" s="117">
        <v>1</v>
      </c>
      <c r="E220" s="172">
        <v>2</v>
      </c>
      <c r="F220" s="173">
        <f>SUM(Assuntos_2025[[#This Row],[1° trim 2025]:[4° trim 2025]])</f>
        <v>3</v>
      </c>
      <c r="G220" s="21">
        <f>AVERAGE(Assuntos_2025[[#This Row],[1° trim 2025]:[4° trim 2025]])</f>
        <v>0.75</v>
      </c>
      <c r="H220" s="165">
        <f>(Assuntos_2025[[#This Row],[Total]]/Assuntos_2025[[#Totals],[Total]])</f>
        <v>4.4408259936348161E-5</v>
      </c>
    </row>
    <row r="221" spans="1:8" ht="15" customHeight="1">
      <c r="A221" s="43" t="s">
        <v>260</v>
      </c>
      <c r="B221" s="117">
        <v>0</v>
      </c>
      <c r="C221" s="117">
        <v>0</v>
      </c>
      <c r="D221" s="117">
        <v>0</v>
      </c>
      <c r="E221" s="172">
        <v>0</v>
      </c>
      <c r="F221" s="173">
        <f>SUM(Assuntos_2025[[#This Row],[1° trim 2025]:[4° trim 2025]])</f>
        <v>0</v>
      </c>
      <c r="G221" s="21">
        <f>AVERAGE(Assuntos_2025[[#This Row],[1° trim 2025]:[4° trim 2025]])</f>
        <v>0</v>
      </c>
      <c r="H221" s="165">
        <f>(Assuntos_2025[[#This Row],[Total]]/Assuntos_2025[[#Totals],[Total]])</f>
        <v>0</v>
      </c>
    </row>
    <row r="222" spans="1:8" ht="15" customHeight="1">
      <c r="A222" s="43" t="s">
        <v>261</v>
      </c>
      <c r="B222" s="117">
        <v>99</v>
      </c>
      <c r="C222" s="117">
        <v>47</v>
      </c>
      <c r="D222" s="117">
        <v>53</v>
      </c>
      <c r="E222" s="172">
        <v>45</v>
      </c>
      <c r="F222" s="173">
        <f>SUM(Assuntos_2025[[#This Row],[1° trim 2025]:[4° trim 2025]])</f>
        <v>244</v>
      </c>
      <c r="G222" s="21">
        <f>AVERAGE(Assuntos_2025[[#This Row],[1° trim 2025]:[4° trim 2025]])</f>
        <v>61</v>
      </c>
      <c r="H222" s="165">
        <f>(Assuntos_2025[[#This Row],[Total]]/Assuntos_2025[[#Totals],[Total]])</f>
        <v>3.611871808156317E-3</v>
      </c>
    </row>
    <row r="223" spans="1:8" ht="15" customHeight="1">
      <c r="A223" s="43" t="s">
        <v>262</v>
      </c>
      <c r="B223" s="117">
        <v>3</v>
      </c>
      <c r="C223" s="117">
        <v>1</v>
      </c>
      <c r="D223" s="117">
        <v>0</v>
      </c>
      <c r="E223" s="172">
        <v>1</v>
      </c>
      <c r="F223" s="173">
        <f>SUM(Assuntos_2025[[#This Row],[1° trim 2025]:[4° trim 2025]])</f>
        <v>5</v>
      </c>
      <c r="G223" s="21">
        <f>AVERAGE(Assuntos_2025[[#This Row],[1° trim 2025]:[4° trim 2025]])</f>
        <v>1.25</v>
      </c>
      <c r="H223" s="165">
        <f>(Assuntos_2025[[#This Row],[Total]]/Assuntos_2025[[#Totals],[Total]])</f>
        <v>7.4013766560580268E-5</v>
      </c>
    </row>
    <row r="224" spans="1:8" ht="15" customHeight="1">
      <c r="A224" s="35" t="s">
        <v>263</v>
      </c>
      <c r="B224" s="117">
        <v>59</v>
      </c>
      <c r="C224" s="117">
        <v>54</v>
      </c>
      <c r="D224" s="117">
        <v>57</v>
      </c>
      <c r="E224" s="172">
        <v>55</v>
      </c>
      <c r="F224" s="173">
        <f>SUM(Assuntos_2025[[#This Row],[1° trim 2025]:[4° trim 2025]])</f>
        <v>225</v>
      </c>
      <c r="G224" s="21">
        <f>AVERAGE(Assuntos_2025[[#This Row],[1° trim 2025]:[4° trim 2025]])</f>
        <v>56.25</v>
      </c>
      <c r="H224" s="165">
        <f>(Assuntos_2025[[#This Row],[Total]]/Assuntos_2025[[#Totals],[Total]])</f>
        <v>3.3306194952261122E-3</v>
      </c>
    </row>
    <row r="225" spans="1:8" ht="15" customHeight="1">
      <c r="A225" s="35" t="s">
        <v>264</v>
      </c>
      <c r="B225" s="117">
        <v>0</v>
      </c>
      <c r="C225" s="117">
        <v>3</v>
      </c>
      <c r="D225" s="117">
        <v>0</v>
      </c>
      <c r="E225" s="172">
        <v>1</v>
      </c>
      <c r="F225" s="173">
        <f>SUM(Assuntos_2025[[#This Row],[1° trim 2025]:[4° trim 2025]])</f>
        <v>4</v>
      </c>
      <c r="G225" s="21">
        <f>AVERAGE(Assuntos_2025[[#This Row],[1° trim 2025]:[4° trim 2025]])</f>
        <v>1</v>
      </c>
      <c r="H225" s="165">
        <f>(Assuntos_2025[[#This Row],[Total]]/Assuntos_2025[[#Totals],[Total]])</f>
        <v>5.9211013248464215E-5</v>
      </c>
    </row>
    <row r="226" spans="1:8" ht="15" customHeight="1">
      <c r="A226" s="35" t="s">
        <v>265</v>
      </c>
      <c r="B226" s="117">
        <v>0</v>
      </c>
      <c r="C226" s="117">
        <v>0</v>
      </c>
      <c r="D226" s="117">
        <v>0</v>
      </c>
      <c r="E226" s="172">
        <v>0</v>
      </c>
      <c r="F226" s="173">
        <f>SUM(Assuntos_2025[[#This Row],[1° trim 2025]:[4° trim 2025]])</f>
        <v>0</v>
      </c>
      <c r="G226" s="21">
        <f>AVERAGE(Assuntos_2025[[#This Row],[1° trim 2025]:[4° trim 2025]])</f>
        <v>0</v>
      </c>
      <c r="H226" s="165">
        <f>(Assuntos_2025[[#This Row],[Total]]/Assuntos_2025[[#Totals],[Total]])</f>
        <v>0</v>
      </c>
    </row>
    <row r="227" spans="1:8" ht="15" customHeight="1">
      <c r="A227" s="35" t="s">
        <v>266</v>
      </c>
      <c r="B227" s="117">
        <v>15</v>
      </c>
      <c r="C227" s="117">
        <v>12</v>
      </c>
      <c r="D227" s="117">
        <v>7</v>
      </c>
      <c r="E227" s="172">
        <v>6</v>
      </c>
      <c r="F227" s="173">
        <f>SUM(Assuntos_2025[[#This Row],[1° trim 2025]:[4° trim 2025]])</f>
        <v>40</v>
      </c>
      <c r="G227" s="21">
        <f>AVERAGE(Assuntos_2025[[#This Row],[1° trim 2025]:[4° trim 2025]])</f>
        <v>10</v>
      </c>
      <c r="H227" s="165">
        <f>(Assuntos_2025[[#This Row],[Total]]/Assuntos_2025[[#Totals],[Total]])</f>
        <v>5.9211013248464215E-4</v>
      </c>
    </row>
    <row r="228" spans="1:8" ht="15" customHeight="1">
      <c r="A228" s="43" t="s">
        <v>267</v>
      </c>
      <c r="B228" s="117">
        <v>0</v>
      </c>
      <c r="C228" s="117">
        <v>0</v>
      </c>
      <c r="D228" s="117">
        <v>0</v>
      </c>
      <c r="E228" s="172">
        <v>0</v>
      </c>
      <c r="F228" s="173">
        <f>SUM(Assuntos_2025[[#This Row],[1° trim 2025]:[4° trim 2025]])</f>
        <v>0</v>
      </c>
      <c r="G228" s="21">
        <f>AVERAGE(Assuntos_2025[[#This Row],[1° trim 2025]:[4° trim 2025]])</f>
        <v>0</v>
      </c>
      <c r="H228" s="165">
        <f>(Assuntos_2025[[#This Row],[Total]]/Assuntos_2025[[#Totals],[Total]])</f>
        <v>0</v>
      </c>
    </row>
    <row r="229" spans="1:8" ht="15" customHeight="1">
      <c r="A229" s="35" t="s">
        <v>268</v>
      </c>
      <c r="B229" s="117">
        <v>0</v>
      </c>
      <c r="C229" s="117">
        <v>2</v>
      </c>
      <c r="D229" s="117">
        <v>0</v>
      </c>
      <c r="E229" s="172">
        <v>0</v>
      </c>
      <c r="F229" s="173">
        <f>SUM(Assuntos_2025[[#This Row],[1° trim 2025]:[4° trim 2025]])</f>
        <v>2</v>
      </c>
      <c r="G229" s="21">
        <f>AVERAGE(Assuntos_2025[[#This Row],[1° trim 2025]:[4° trim 2025]])</f>
        <v>0.5</v>
      </c>
      <c r="H229" s="165">
        <f>(Assuntos_2025[[#This Row],[Total]]/Assuntos_2025[[#Totals],[Total]])</f>
        <v>2.9605506624232107E-5</v>
      </c>
    </row>
    <row r="230" spans="1:8" ht="15" customHeight="1">
      <c r="A230" s="43" t="s">
        <v>269</v>
      </c>
      <c r="B230" s="117">
        <v>0</v>
      </c>
      <c r="C230" s="117">
        <v>0</v>
      </c>
      <c r="D230" s="117">
        <v>0</v>
      </c>
      <c r="E230" s="172">
        <v>0</v>
      </c>
      <c r="F230" s="173">
        <f>SUM(Assuntos_2025[[#This Row],[1° trim 2025]:[4° trim 2025]])</f>
        <v>0</v>
      </c>
      <c r="G230" s="21">
        <f>AVERAGE(Assuntos_2025[[#This Row],[1° trim 2025]:[4° trim 2025]])</f>
        <v>0</v>
      </c>
      <c r="H230" s="165">
        <f>(Assuntos_2025[[#This Row],[Total]]/Assuntos_2025[[#Totals],[Total]])</f>
        <v>0</v>
      </c>
    </row>
    <row r="231" spans="1:8" ht="15" customHeight="1">
      <c r="A231" s="43" t="s">
        <v>270</v>
      </c>
      <c r="B231" s="117">
        <v>16</v>
      </c>
      <c r="C231" s="117">
        <v>11</v>
      </c>
      <c r="D231" s="117">
        <v>1</v>
      </c>
      <c r="E231" s="172">
        <v>2</v>
      </c>
      <c r="F231" s="173">
        <f>SUM(Assuntos_2025[[#This Row],[1° trim 2025]:[4° trim 2025]])</f>
        <v>30</v>
      </c>
      <c r="G231" s="21">
        <f>AVERAGE(Assuntos_2025[[#This Row],[1° trim 2025]:[4° trim 2025]])</f>
        <v>7.5</v>
      </c>
      <c r="H231" s="165">
        <f>(Assuntos_2025[[#This Row],[Total]]/Assuntos_2025[[#Totals],[Total]])</f>
        <v>4.4408259936348158E-4</v>
      </c>
    </row>
    <row r="232" spans="1:8" ht="15" customHeight="1">
      <c r="A232" s="35" t="s">
        <v>271</v>
      </c>
      <c r="B232" s="117">
        <v>7</v>
      </c>
      <c r="C232" s="117">
        <v>1</v>
      </c>
      <c r="D232" s="117">
        <v>0</v>
      </c>
      <c r="E232" s="172">
        <v>0</v>
      </c>
      <c r="F232" s="173">
        <f>SUM(Assuntos_2025[[#This Row],[1° trim 2025]:[4° trim 2025]])</f>
        <v>8</v>
      </c>
      <c r="G232" s="21">
        <f>AVERAGE(Assuntos_2025[[#This Row],[1° trim 2025]:[4° trim 2025]])</f>
        <v>2</v>
      </c>
      <c r="H232" s="165">
        <f>(Assuntos_2025[[#This Row],[Total]]/Assuntos_2025[[#Totals],[Total]])</f>
        <v>1.1842202649692843E-4</v>
      </c>
    </row>
    <row r="233" spans="1:8" ht="15" customHeight="1">
      <c r="A233" s="186" t="s">
        <v>414</v>
      </c>
      <c r="B233" s="187">
        <v>0</v>
      </c>
      <c r="C233" s="187">
        <v>0</v>
      </c>
      <c r="D233" s="187">
        <v>0</v>
      </c>
      <c r="E233" s="172">
        <v>1</v>
      </c>
      <c r="F233" s="173">
        <f>SUM(Assuntos_2025[[#This Row],[1° trim 2025]:[4° trim 2025]])</f>
        <v>1</v>
      </c>
      <c r="G233" s="21">
        <f>AVERAGE(Assuntos_2025[[#This Row],[1° trim 2025]:[4° trim 2025]])</f>
        <v>0.25</v>
      </c>
      <c r="H233" s="165">
        <f>(Assuntos_2025[[#This Row],[Total]]/Assuntos_2025[[#Totals],[Total]])</f>
        <v>1.4802753312116054E-5</v>
      </c>
    </row>
    <row r="234" spans="1:8" ht="15" customHeight="1">
      <c r="A234" s="35" t="s">
        <v>272</v>
      </c>
      <c r="B234" s="117">
        <v>47</v>
      </c>
      <c r="C234" s="117">
        <v>26</v>
      </c>
      <c r="D234" s="117">
        <v>22</v>
      </c>
      <c r="E234" s="172">
        <v>13</v>
      </c>
      <c r="F234" s="173">
        <f>SUM(Assuntos_2025[[#This Row],[1° trim 2025]:[4° trim 2025]])</f>
        <v>108</v>
      </c>
      <c r="G234" s="21">
        <f>AVERAGE(Assuntos_2025[[#This Row],[1° trim 2025]:[4° trim 2025]])</f>
        <v>27</v>
      </c>
      <c r="H234" s="165">
        <f>(Assuntos_2025[[#This Row],[Total]]/Assuntos_2025[[#Totals],[Total]])</f>
        <v>1.5986973577085339E-3</v>
      </c>
    </row>
    <row r="235" spans="1:8" ht="15" customHeight="1">
      <c r="A235" s="43" t="s">
        <v>273</v>
      </c>
      <c r="B235" s="117">
        <v>26</v>
      </c>
      <c r="C235" s="117">
        <v>23</v>
      </c>
      <c r="D235" s="117">
        <v>11</v>
      </c>
      <c r="E235" s="172">
        <v>10</v>
      </c>
      <c r="F235" s="173">
        <f>SUM(Assuntos_2025[[#This Row],[1° trim 2025]:[4° trim 2025]])</f>
        <v>70</v>
      </c>
      <c r="G235" s="21">
        <f>AVERAGE(Assuntos_2025[[#This Row],[1° trim 2025]:[4° trim 2025]])</f>
        <v>17.5</v>
      </c>
      <c r="H235" s="165">
        <f>(Assuntos_2025[[#This Row],[Total]]/Assuntos_2025[[#Totals],[Total]])</f>
        <v>1.0361927318481238E-3</v>
      </c>
    </row>
    <row r="236" spans="1:8" ht="15" customHeight="1">
      <c r="A236" s="35" t="s">
        <v>274</v>
      </c>
      <c r="B236" s="117">
        <v>0</v>
      </c>
      <c r="C236" s="117">
        <v>1</v>
      </c>
      <c r="D236" s="117">
        <v>0</v>
      </c>
      <c r="E236" s="172">
        <v>0</v>
      </c>
      <c r="F236" s="173">
        <f>SUM(Assuntos_2025[[#This Row],[1° trim 2025]:[4° trim 2025]])</f>
        <v>1</v>
      </c>
      <c r="G236" s="21">
        <f>AVERAGE(Assuntos_2025[[#This Row],[1° trim 2025]:[4° trim 2025]])</f>
        <v>0.25</v>
      </c>
      <c r="H236" s="165">
        <f>(Assuntos_2025[[#This Row],[Total]]/Assuntos_2025[[#Totals],[Total]])</f>
        <v>1.4802753312116054E-5</v>
      </c>
    </row>
    <row r="237" spans="1:8" ht="15" customHeight="1">
      <c r="A237" s="43" t="s">
        <v>275</v>
      </c>
      <c r="B237" s="117">
        <v>5</v>
      </c>
      <c r="C237" s="117">
        <v>14</v>
      </c>
      <c r="D237" s="117">
        <v>11</v>
      </c>
      <c r="E237" s="172">
        <v>7</v>
      </c>
      <c r="F237" s="173">
        <f>SUM(Assuntos_2025[[#This Row],[1° trim 2025]:[4° trim 2025]])</f>
        <v>37</v>
      </c>
      <c r="G237" s="21">
        <f>AVERAGE(Assuntos_2025[[#This Row],[1° trim 2025]:[4° trim 2025]])</f>
        <v>9.25</v>
      </c>
      <c r="H237" s="165">
        <f>(Assuntos_2025[[#This Row],[Total]]/Assuntos_2025[[#Totals],[Total]])</f>
        <v>5.4770187254829397E-4</v>
      </c>
    </row>
    <row r="238" spans="1:8" ht="15" customHeight="1">
      <c r="A238" s="35" t="s">
        <v>276</v>
      </c>
      <c r="B238" s="117">
        <v>514</v>
      </c>
      <c r="C238" s="117">
        <v>480</v>
      </c>
      <c r="D238" s="117">
        <v>448</v>
      </c>
      <c r="E238" s="172">
        <v>391</v>
      </c>
      <c r="F238" s="173">
        <f>SUM(Assuntos_2025[[#This Row],[1° trim 2025]:[4° trim 2025]])</f>
        <v>1833</v>
      </c>
      <c r="G238" s="21">
        <f>AVERAGE(Assuntos_2025[[#This Row],[1° trim 2025]:[4° trim 2025]])</f>
        <v>458.25</v>
      </c>
      <c r="H238" s="165">
        <f>(Assuntos_2025[[#This Row],[Total]]/Assuntos_2025[[#Totals],[Total]])</f>
        <v>2.7133446821108725E-2</v>
      </c>
    </row>
    <row r="239" spans="1:8" ht="15" customHeight="1">
      <c r="A239" s="35" t="s">
        <v>277</v>
      </c>
      <c r="B239" s="117">
        <v>3</v>
      </c>
      <c r="C239" s="117">
        <v>0</v>
      </c>
      <c r="D239" s="117">
        <v>0</v>
      </c>
      <c r="E239" s="172">
        <v>0</v>
      </c>
      <c r="F239" s="173">
        <f>SUM(Assuntos_2025[[#This Row],[1° trim 2025]:[4° trim 2025]])</f>
        <v>3</v>
      </c>
      <c r="G239" s="21">
        <f>AVERAGE(Assuntos_2025[[#This Row],[1° trim 2025]:[4° trim 2025]])</f>
        <v>0.75</v>
      </c>
      <c r="H239" s="165">
        <f>(Assuntos_2025[[#This Row],[Total]]/Assuntos_2025[[#Totals],[Total]])</f>
        <v>4.4408259936348161E-5</v>
      </c>
    </row>
    <row r="240" spans="1:8" ht="15" customHeight="1">
      <c r="A240" s="35" t="s">
        <v>278</v>
      </c>
      <c r="B240" s="117">
        <v>2</v>
      </c>
      <c r="C240" s="117">
        <v>3</v>
      </c>
      <c r="D240" s="117">
        <v>6</v>
      </c>
      <c r="E240" s="172">
        <v>1</v>
      </c>
      <c r="F240" s="173">
        <f>SUM(Assuntos_2025[[#This Row],[1° trim 2025]:[4° trim 2025]])</f>
        <v>12</v>
      </c>
      <c r="G240" s="21">
        <f>AVERAGE(Assuntos_2025[[#This Row],[1° trim 2025]:[4° trim 2025]])</f>
        <v>3</v>
      </c>
      <c r="H240" s="165">
        <f>(Assuntos_2025[[#This Row],[Total]]/Assuntos_2025[[#Totals],[Total]])</f>
        <v>1.7763303974539264E-4</v>
      </c>
    </row>
    <row r="241" spans="1:8" ht="15" customHeight="1">
      <c r="A241" s="35" t="s">
        <v>279</v>
      </c>
      <c r="B241" s="117">
        <v>0</v>
      </c>
      <c r="C241" s="117">
        <v>0</v>
      </c>
      <c r="D241" s="117">
        <v>0</v>
      </c>
      <c r="E241" s="172">
        <v>1</v>
      </c>
      <c r="F241" s="173">
        <f>SUM(Assuntos_2025[[#This Row],[1° trim 2025]:[4° trim 2025]])</f>
        <v>1</v>
      </c>
      <c r="G241" s="21">
        <f>AVERAGE(Assuntos_2025[[#This Row],[1° trim 2025]:[4° trim 2025]])</f>
        <v>0.25</v>
      </c>
      <c r="H241" s="165">
        <f>(Assuntos_2025[[#This Row],[Total]]/Assuntos_2025[[#Totals],[Total]])</f>
        <v>1.4802753312116054E-5</v>
      </c>
    </row>
    <row r="242" spans="1:8" ht="15" customHeight="1">
      <c r="A242" s="35" t="s">
        <v>280</v>
      </c>
      <c r="B242" s="117">
        <v>80</v>
      </c>
      <c r="C242" s="117">
        <v>117</v>
      </c>
      <c r="D242" s="117">
        <v>71</v>
      </c>
      <c r="E242" s="172">
        <v>84</v>
      </c>
      <c r="F242" s="173">
        <f>SUM(Assuntos_2025[[#This Row],[1° trim 2025]:[4° trim 2025]])</f>
        <v>352</v>
      </c>
      <c r="G242" s="21">
        <f>AVERAGE(Assuntos_2025[[#This Row],[1° trim 2025]:[4° trim 2025]])</f>
        <v>88</v>
      </c>
      <c r="H242" s="165">
        <f>(Assuntos_2025[[#This Row],[Total]]/Assuntos_2025[[#Totals],[Total]])</f>
        <v>5.2105691658648505E-3</v>
      </c>
    </row>
    <row r="243" spans="1:8" ht="15" customHeight="1">
      <c r="A243" s="35" t="s">
        <v>281</v>
      </c>
      <c r="B243" s="117">
        <v>0</v>
      </c>
      <c r="C243" s="117">
        <v>2</v>
      </c>
      <c r="D243" s="117">
        <v>2</v>
      </c>
      <c r="E243" s="172">
        <v>4</v>
      </c>
      <c r="F243" s="173">
        <f>SUM(Assuntos_2025[[#This Row],[1° trim 2025]:[4° trim 2025]])</f>
        <v>8</v>
      </c>
      <c r="G243" s="21">
        <f>AVERAGE(Assuntos_2025[[#This Row],[1° trim 2025]:[4° trim 2025]])</f>
        <v>2</v>
      </c>
      <c r="H243" s="165">
        <f>(Assuntos_2025[[#This Row],[Total]]/Assuntos_2025[[#Totals],[Total]])</f>
        <v>1.1842202649692843E-4</v>
      </c>
    </row>
    <row r="244" spans="1:8" ht="15" customHeight="1">
      <c r="A244" s="35" t="s">
        <v>282</v>
      </c>
      <c r="B244" s="117">
        <v>0</v>
      </c>
      <c r="C244" s="117">
        <v>0</v>
      </c>
      <c r="D244" s="117">
        <v>0</v>
      </c>
      <c r="E244" s="172">
        <v>0</v>
      </c>
      <c r="F244" s="173">
        <f>SUM(Assuntos_2025[[#This Row],[1° trim 2025]:[4° trim 2025]])</f>
        <v>0</v>
      </c>
      <c r="G244" s="21">
        <f>AVERAGE(Assuntos_2025[[#This Row],[1° trim 2025]:[4° trim 2025]])</f>
        <v>0</v>
      </c>
      <c r="H244" s="165">
        <f>(Assuntos_2025[[#This Row],[Total]]/Assuntos_2025[[#Totals],[Total]])</f>
        <v>0</v>
      </c>
    </row>
    <row r="245" spans="1:8" ht="15" customHeight="1">
      <c r="A245" s="35" t="s">
        <v>283</v>
      </c>
      <c r="B245" s="117">
        <v>26</v>
      </c>
      <c r="C245" s="117">
        <v>29</v>
      </c>
      <c r="D245" s="117">
        <v>39</v>
      </c>
      <c r="E245" s="172">
        <v>17</v>
      </c>
      <c r="F245" s="173">
        <f>SUM(Assuntos_2025[[#This Row],[1° trim 2025]:[4° trim 2025]])</f>
        <v>111</v>
      </c>
      <c r="G245" s="21">
        <f>AVERAGE(Assuntos_2025[[#This Row],[1° trim 2025]:[4° trim 2025]])</f>
        <v>27.75</v>
      </c>
      <c r="H245" s="165">
        <f>(Assuntos_2025[[#This Row],[Total]]/Assuntos_2025[[#Totals],[Total]])</f>
        <v>1.643105617644882E-3</v>
      </c>
    </row>
    <row r="246" spans="1:8" ht="15" customHeight="1">
      <c r="A246" s="35" t="s">
        <v>284</v>
      </c>
      <c r="B246" s="117">
        <v>35</v>
      </c>
      <c r="C246" s="117">
        <v>41</v>
      </c>
      <c r="D246" s="117">
        <v>44</v>
      </c>
      <c r="E246" s="172">
        <v>41</v>
      </c>
      <c r="F246" s="173">
        <f>SUM(Assuntos_2025[[#This Row],[1° trim 2025]:[4° trim 2025]])</f>
        <v>161</v>
      </c>
      <c r="G246" s="21">
        <f>AVERAGE(Assuntos_2025[[#This Row],[1° trim 2025]:[4° trim 2025]])</f>
        <v>40.25</v>
      </c>
      <c r="H246" s="165">
        <f>(Assuntos_2025[[#This Row],[Total]]/Assuntos_2025[[#Totals],[Total]])</f>
        <v>2.3832432832506848E-3</v>
      </c>
    </row>
    <row r="247" spans="1:8" customFormat="1" ht="15" customHeight="1">
      <c r="A247" s="43" t="s">
        <v>285</v>
      </c>
      <c r="B247" s="117">
        <v>3</v>
      </c>
      <c r="C247" s="117">
        <v>0</v>
      </c>
      <c r="D247" s="117">
        <v>4</v>
      </c>
      <c r="E247" s="172">
        <v>4</v>
      </c>
      <c r="F247" s="173">
        <f>SUM(Assuntos_2025[[#This Row],[1° trim 2025]:[4° trim 2025]])</f>
        <v>11</v>
      </c>
      <c r="G247" s="21">
        <f>AVERAGE(Assuntos_2025[[#This Row],[1° trim 2025]:[4° trim 2025]])</f>
        <v>2.75</v>
      </c>
      <c r="H247" s="165">
        <f>(Assuntos_2025[[#This Row],[Total]]/Assuntos_2025[[#Totals],[Total]])</f>
        <v>1.6283028643327658E-4</v>
      </c>
    </row>
    <row r="248" spans="1:8" customFormat="1" ht="15" customHeight="1">
      <c r="A248" s="43" t="s">
        <v>286</v>
      </c>
      <c r="B248" s="117">
        <v>227</v>
      </c>
      <c r="C248" s="117">
        <v>193</v>
      </c>
      <c r="D248" s="117">
        <v>156</v>
      </c>
      <c r="E248" s="172">
        <v>127</v>
      </c>
      <c r="F248" s="173">
        <f>SUM(Assuntos_2025[[#This Row],[1° trim 2025]:[4° trim 2025]])</f>
        <v>703</v>
      </c>
      <c r="G248" s="21">
        <f>AVERAGE(Assuntos_2025[[#This Row],[1° trim 2025]:[4° trim 2025]])</f>
        <v>175.75</v>
      </c>
      <c r="H248" s="165">
        <f>(Assuntos_2025[[#This Row],[Total]]/Assuntos_2025[[#Totals],[Total]])</f>
        <v>1.0406335578417586E-2</v>
      </c>
    </row>
    <row r="249" spans="1:8" customFormat="1" ht="15" customHeight="1">
      <c r="A249" s="43" t="s">
        <v>287</v>
      </c>
      <c r="B249" s="117">
        <v>198</v>
      </c>
      <c r="C249" s="117">
        <v>132</v>
      </c>
      <c r="D249" s="117">
        <v>72</v>
      </c>
      <c r="E249" s="172">
        <v>47</v>
      </c>
      <c r="F249" s="173">
        <f>SUM(Assuntos_2025[[#This Row],[1° trim 2025]:[4° trim 2025]])</f>
        <v>449</v>
      </c>
      <c r="G249" s="21">
        <f>AVERAGE(Assuntos_2025[[#This Row],[1° trim 2025]:[4° trim 2025]])</f>
        <v>112.25</v>
      </c>
      <c r="H249" s="165">
        <f>(Assuntos_2025[[#This Row],[Total]]/Assuntos_2025[[#Totals],[Total]])</f>
        <v>6.6464362371401083E-3</v>
      </c>
    </row>
    <row r="250" spans="1:8" customFormat="1" ht="15" customHeight="1">
      <c r="A250" s="43" t="s">
        <v>288</v>
      </c>
      <c r="B250" s="117">
        <v>0</v>
      </c>
      <c r="C250" s="117">
        <v>7</v>
      </c>
      <c r="D250" s="117">
        <v>9</v>
      </c>
      <c r="E250" s="172">
        <v>4</v>
      </c>
      <c r="F250" s="173">
        <f>SUM(Assuntos_2025[[#This Row],[1° trim 2025]:[4° trim 2025]])</f>
        <v>20</v>
      </c>
      <c r="G250" s="21">
        <f>AVERAGE(Assuntos_2025[[#This Row],[1° trim 2025]:[4° trim 2025]])</f>
        <v>5</v>
      </c>
      <c r="H250" s="165">
        <f>(Assuntos_2025[[#This Row],[Total]]/Assuntos_2025[[#Totals],[Total]])</f>
        <v>2.9605506624232107E-4</v>
      </c>
    </row>
    <row r="251" spans="1:8" customFormat="1" ht="15" customHeight="1">
      <c r="A251" s="43" t="s">
        <v>289</v>
      </c>
      <c r="B251" s="117">
        <v>0</v>
      </c>
      <c r="C251" s="117">
        <v>0</v>
      </c>
      <c r="D251" s="117">
        <v>1</v>
      </c>
      <c r="E251" s="172">
        <v>0</v>
      </c>
      <c r="F251" s="173">
        <f>SUM(Assuntos_2025[[#This Row],[1° trim 2025]:[4° trim 2025]])</f>
        <v>1</v>
      </c>
      <c r="G251" s="21">
        <f>AVERAGE(Assuntos_2025[[#This Row],[1° trim 2025]:[4° trim 2025]])</f>
        <v>0.25</v>
      </c>
      <c r="H251" s="165">
        <f>(Assuntos_2025[[#This Row],[Total]]/Assuntos_2025[[#Totals],[Total]])</f>
        <v>1.4802753312116054E-5</v>
      </c>
    </row>
    <row r="252" spans="1:8" customFormat="1" ht="15" customHeight="1">
      <c r="A252" s="43" t="s">
        <v>290</v>
      </c>
      <c r="B252" s="117">
        <v>15</v>
      </c>
      <c r="C252" s="117">
        <v>20</v>
      </c>
      <c r="D252" s="117">
        <v>40</v>
      </c>
      <c r="E252" s="172">
        <v>28</v>
      </c>
      <c r="F252" s="173">
        <f>SUM(Assuntos_2025[[#This Row],[1° trim 2025]:[4° trim 2025]])</f>
        <v>103</v>
      </c>
      <c r="G252" s="21">
        <f>AVERAGE(Assuntos_2025[[#This Row],[1° trim 2025]:[4° trim 2025]])</f>
        <v>25.75</v>
      </c>
      <c r="H252" s="165">
        <f>(Assuntos_2025[[#This Row],[Total]]/Assuntos_2025[[#Totals],[Total]])</f>
        <v>1.5246835911479535E-3</v>
      </c>
    </row>
    <row r="253" spans="1:8" customFormat="1" ht="15" customHeight="1">
      <c r="A253" s="43" t="s">
        <v>291</v>
      </c>
      <c r="B253" s="117">
        <v>234</v>
      </c>
      <c r="C253" s="117">
        <v>299</v>
      </c>
      <c r="D253" s="117">
        <v>238</v>
      </c>
      <c r="E253" s="172">
        <v>160</v>
      </c>
      <c r="F253" s="173">
        <f>SUM(Assuntos_2025[[#This Row],[1° trim 2025]:[4° trim 2025]])</f>
        <v>931</v>
      </c>
      <c r="G253" s="21">
        <f>AVERAGE(Assuntos_2025[[#This Row],[1° trim 2025]:[4° trim 2025]])</f>
        <v>232.75</v>
      </c>
      <c r="H253" s="165">
        <f>(Assuntos_2025[[#This Row],[Total]]/Assuntos_2025[[#Totals],[Total]])</f>
        <v>1.3781363333580045E-2</v>
      </c>
    </row>
    <row r="254" spans="1:8" customFormat="1" ht="15" customHeight="1">
      <c r="A254" s="35" t="s">
        <v>292</v>
      </c>
      <c r="B254" s="117">
        <v>0</v>
      </c>
      <c r="C254" s="117">
        <v>1</v>
      </c>
      <c r="D254" s="117">
        <v>1</v>
      </c>
      <c r="E254" s="172">
        <v>0</v>
      </c>
      <c r="F254" s="173">
        <f>SUM(Assuntos_2025[[#This Row],[1° trim 2025]:[4° trim 2025]])</f>
        <v>2</v>
      </c>
      <c r="G254" s="21">
        <f>AVERAGE(Assuntos_2025[[#This Row],[1° trim 2025]:[4° trim 2025]])</f>
        <v>0.5</v>
      </c>
      <c r="H254" s="165">
        <f>(Assuntos_2025[[#This Row],[Total]]/Assuntos_2025[[#Totals],[Total]])</f>
        <v>2.9605506624232107E-5</v>
      </c>
    </row>
    <row r="255" spans="1:8" customFormat="1" ht="15" customHeight="1">
      <c r="A255" s="35" t="s">
        <v>293</v>
      </c>
      <c r="B255" s="117">
        <v>16</v>
      </c>
      <c r="C255" s="117">
        <v>36</v>
      </c>
      <c r="D255" s="117">
        <v>4</v>
      </c>
      <c r="E255" s="172">
        <v>18</v>
      </c>
      <c r="F255" s="173">
        <f>SUM(Assuntos_2025[[#This Row],[1° trim 2025]:[4° trim 2025]])</f>
        <v>74</v>
      </c>
      <c r="G255" s="21">
        <f>AVERAGE(Assuntos_2025[[#This Row],[1° trim 2025]:[4° trim 2025]])</f>
        <v>18.5</v>
      </c>
      <c r="H255" s="165">
        <f>(Assuntos_2025[[#This Row],[Total]]/Assuntos_2025[[#Totals],[Total]])</f>
        <v>1.0954037450965879E-3</v>
      </c>
    </row>
    <row r="256" spans="1:8" customFormat="1" ht="15" customHeight="1">
      <c r="A256" s="35" t="s">
        <v>294</v>
      </c>
      <c r="B256" s="117">
        <v>307</v>
      </c>
      <c r="C256" s="117">
        <v>213</v>
      </c>
      <c r="D256" s="117">
        <v>293</v>
      </c>
      <c r="E256" s="172">
        <v>315</v>
      </c>
      <c r="F256" s="173">
        <f>SUM(Assuntos_2025[[#This Row],[1° trim 2025]:[4° trim 2025]])</f>
        <v>1128</v>
      </c>
      <c r="G256" s="21">
        <f>AVERAGE(Assuntos_2025[[#This Row],[1° trim 2025]:[4° trim 2025]])</f>
        <v>282</v>
      </c>
      <c r="H256" s="165">
        <f>(Assuntos_2025[[#This Row],[Total]]/Assuntos_2025[[#Totals],[Total]])</f>
        <v>1.6697505736066907E-2</v>
      </c>
    </row>
    <row r="257" spans="1:8" customFormat="1" ht="15" customHeight="1">
      <c r="A257" s="35" t="s">
        <v>295</v>
      </c>
      <c r="B257" s="117">
        <v>469</v>
      </c>
      <c r="C257" s="117">
        <v>649</v>
      </c>
      <c r="D257" s="117">
        <v>476</v>
      </c>
      <c r="E257" s="172">
        <v>437</v>
      </c>
      <c r="F257" s="173">
        <f>SUM(Assuntos_2025[[#This Row],[1° trim 2025]:[4° trim 2025]])</f>
        <v>2031</v>
      </c>
      <c r="G257" s="21">
        <f>AVERAGE(Assuntos_2025[[#This Row],[1° trim 2025]:[4° trim 2025]])</f>
        <v>507.75</v>
      </c>
      <c r="H257" s="165">
        <f>(Assuntos_2025[[#This Row],[Total]]/Assuntos_2025[[#Totals],[Total]])</f>
        <v>3.0064391976907703E-2</v>
      </c>
    </row>
    <row r="258" spans="1:8" customFormat="1" ht="15" customHeight="1">
      <c r="A258" s="35" t="s">
        <v>296</v>
      </c>
      <c r="B258" s="117">
        <v>14</v>
      </c>
      <c r="C258" s="117">
        <v>12</v>
      </c>
      <c r="D258" s="117">
        <v>38</v>
      </c>
      <c r="E258" s="172">
        <v>51</v>
      </c>
      <c r="F258" s="173">
        <f>SUM(Assuntos_2025[[#This Row],[1° trim 2025]:[4° trim 2025]])</f>
        <v>115</v>
      </c>
      <c r="G258" s="21">
        <f>AVERAGE(Assuntos_2025[[#This Row],[1° trim 2025]:[4° trim 2025]])</f>
        <v>28.75</v>
      </c>
      <c r="H258" s="165">
        <f>(Assuntos_2025[[#This Row],[Total]]/Assuntos_2025[[#Totals],[Total]])</f>
        <v>1.7023166308933462E-3</v>
      </c>
    </row>
    <row r="259" spans="1:8" customFormat="1" ht="15" customHeight="1">
      <c r="A259" s="35" t="s">
        <v>297</v>
      </c>
      <c r="B259" s="117">
        <v>8</v>
      </c>
      <c r="C259" s="117">
        <v>3</v>
      </c>
      <c r="D259" s="117">
        <v>12</v>
      </c>
      <c r="E259" s="172">
        <v>6</v>
      </c>
      <c r="F259" s="173">
        <f>SUM(Assuntos_2025[[#This Row],[1° trim 2025]:[4° trim 2025]])</f>
        <v>29</v>
      </c>
      <c r="G259" s="21">
        <f>AVERAGE(Assuntos_2025[[#This Row],[1° trim 2025]:[4° trim 2025]])</f>
        <v>7.25</v>
      </c>
      <c r="H259" s="165">
        <f>(Assuntos_2025[[#This Row],[Total]]/Assuntos_2025[[#Totals],[Total]])</f>
        <v>4.2927984605136554E-4</v>
      </c>
    </row>
    <row r="260" spans="1:8" customFormat="1" ht="15" customHeight="1">
      <c r="A260" s="35" t="s">
        <v>298</v>
      </c>
      <c r="B260" s="117">
        <v>5</v>
      </c>
      <c r="C260" s="117">
        <v>6</v>
      </c>
      <c r="D260" s="117">
        <v>8</v>
      </c>
      <c r="E260" s="172">
        <v>5</v>
      </c>
      <c r="F260" s="173">
        <f>SUM(Assuntos_2025[[#This Row],[1° trim 2025]:[4° trim 2025]])</f>
        <v>24</v>
      </c>
      <c r="G260" s="21">
        <f>AVERAGE(Assuntos_2025[[#This Row],[1° trim 2025]:[4° trim 2025]])</f>
        <v>6</v>
      </c>
      <c r="H260" s="165">
        <f>(Assuntos_2025[[#This Row],[Total]]/Assuntos_2025[[#Totals],[Total]])</f>
        <v>3.5526607949078529E-4</v>
      </c>
    </row>
    <row r="261" spans="1:8" customFormat="1" ht="15" customHeight="1">
      <c r="A261" s="35" t="s">
        <v>299</v>
      </c>
      <c r="B261" s="117">
        <v>16</v>
      </c>
      <c r="C261" s="117">
        <v>14</v>
      </c>
      <c r="D261" s="117">
        <v>18</v>
      </c>
      <c r="E261" s="172">
        <v>19</v>
      </c>
      <c r="F261" s="173">
        <f>SUM(Assuntos_2025[[#This Row],[1° trim 2025]:[4° trim 2025]])</f>
        <v>67</v>
      </c>
      <c r="G261" s="21">
        <f>AVERAGE(Assuntos_2025[[#This Row],[1° trim 2025]:[4° trim 2025]])</f>
        <v>16.75</v>
      </c>
      <c r="H261" s="165">
        <f>(Assuntos_2025[[#This Row],[Total]]/Assuntos_2025[[#Totals],[Total]])</f>
        <v>9.9178447191177561E-4</v>
      </c>
    </row>
    <row r="262" spans="1:8" customFormat="1" ht="15" customHeight="1">
      <c r="A262" s="158" t="s">
        <v>420</v>
      </c>
      <c r="B262" s="122">
        <f>SUBTOTAL(109,Assuntos_2025[1° trim 2025])</f>
        <v>19179</v>
      </c>
      <c r="C262" s="122">
        <f>SUBTOTAL(109,Assuntos_2025[2° trim 2025])</f>
        <v>17099</v>
      </c>
      <c r="D262" s="122">
        <f>SUBTOTAL(109,Assuntos_2025[3° trim 2025])</f>
        <v>16434</v>
      </c>
      <c r="E262" s="122">
        <f>SUBTOTAL(109,Assuntos_2025[4° trim 2025])</f>
        <v>14843</v>
      </c>
      <c r="F262" s="122">
        <f>SUBTOTAL(109,Assuntos_2025[Total])</f>
        <v>67555</v>
      </c>
      <c r="G262" s="122">
        <f>SUBTOTAL(109,Assuntos_2025[Média])</f>
        <v>16888.75</v>
      </c>
      <c r="H262" s="174">
        <f>SUBTOTAL(109,Assuntos_2025[% Total])</f>
        <v>0.999999999999999</v>
      </c>
    </row>
    <row r="263" spans="1:8" customFormat="1" ht="15">
      <c r="A263" s="59"/>
      <c r="B263" s="60"/>
      <c r="C263" s="60"/>
      <c r="D263" s="60"/>
      <c r="E263" s="60"/>
      <c r="F263" s="13"/>
      <c r="G263" s="13"/>
      <c r="H263" s="4"/>
    </row>
    <row r="264" spans="1:8" customFormat="1" ht="15">
      <c r="A264" s="61"/>
      <c r="B264" s="13"/>
      <c r="C264" s="13"/>
      <c r="D264" s="13"/>
      <c r="E264" s="13"/>
      <c r="F264" s="13"/>
      <c r="G264" s="13"/>
      <c r="H264" s="4"/>
    </row>
    <row r="265" spans="1:8" customFormat="1" ht="51.75">
      <c r="A265" s="62" t="s">
        <v>54</v>
      </c>
      <c r="B265" s="60"/>
      <c r="C265" s="60"/>
      <c r="D265" s="60"/>
      <c r="E265" s="60"/>
      <c r="F265" s="13"/>
      <c r="G265" s="13"/>
      <c r="H265" s="4"/>
    </row>
    <row r="266" spans="1:8">
      <c r="A266" s="63" t="s">
        <v>55</v>
      </c>
    </row>
    <row r="267" spans="1:8" customFormat="1" ht="15">
      <c r="A267" s="64"/>
      <c r="B267" s="35"/>
      <c r="C267" s="35"/>
      <c r="D267" s="35"/>
      <c r="E267" s="35"/>
      <c r="F267" s="35"/>
      <c r="G267" s="35"/>
      <c r="H267" s="35"/>
    </row>
    <row r="268" spans="1:8" ht="25.5">
      <c r="A268" s="65" t="s">
        <v>300</v>
      </c>
    </row>
  </sheetData>
  <hyperlinks>
    <hyperlink ref="A266" r:id="rId1" xr:uid="{00000000-0004-0000-03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P48"/>
  <sheetViews>
    <sheetView showGridLines="0" zoomScaleNormal="100" workbookViewId="0">
      <selection activeCell="P5" sqref="P5"/>
    </sheetView>
  </sheetViews>
  <sheetFormatPr defaultColWidth="5.5703125" defaultRowHeight="20.100000000000001" customHeight="1"/>
  <cols>
    <col min="1" max="1" width="5.5703125" style="35" customWidth="1"/>
    <col min="2" max="2" width="58.7109375" style="35" customWidth="1"/>
    <col min="3" max="3" width="11.28515625" style="35" customWidth="1"/>
    <col min="4" max="4" width="11.42578125" style="13" customWidth="1"/>
    <col min="5" max="5" width="11" style="35" customWidth="1"/>
    <col min="6" max="6" width="11.5703125" style="38" customWidth="1"/>
    <col min="7" max="7" width="8.28515625" style="35" customWidth="1"/>
    <col min="8" max="8" width="11.85546875" style="38" customWidth="1"/>
    <col min="9" max="9" width="23.42578125" style="35" customWidth="1"/>
    <col min="10" max="10" width="13.7109375" style="35" customWidth="1"/>
    <col min="11" max="11" width="12.85546875" style="35" customWidth="1"/>
    <col min="12" max="12" width="13.140625" style="35" customWidth="1"/>
    <col min="13" max="13" width="15.7109375" style="35" customWidth="1"/>
    <col min="14" max="14" width="6.85546875" style="35" customWidth="1"/>
    <col min="15" max="15" width="6.7109375" style="35" bestFit="1" customWidth="1"/>
    <col min="16" max="16" width="7.140625" style="35" bestFit="1" customWidth="1"/>
    <col min="17" max="17" width="15.85546875" style="35" bestFit="1" customWidth="1"/>
    <col min="18" max="216" width="9.140625" style="35" customWidth="1"/>
    <col min="217" max="217" width="58.28515625" style="35" customWidth="1"/>
    <col min="218" max="218" width="3.7109375" style="35" bestFit="1" customWidth="1"/>
    <col min="219" max="219" width="5.5703125" style="35" bestFit="1" customWidth="1"/>
    <col min="220" max="220" width="5.5703125" style="35" customWidth="1"/>
    <col min="221" max="16384" width="5.5703125" style="35"/>
  </cols>
  <sheetData>
    <row r="1" spans="2:20" ht="20.100000000000001" customHeight="1">
      <c r="B1" s="36" t="s">
        <v>0</v>
      </c>
      <c r="C1" s="36"/>
      <c r="D1" s="37"/>
      <c r="E1" s="36"/>
      <c r="I1" s="195">
        <f>Unidades_2025[[#Totals],[4° trim 2025]]</f>
        <v>14843</v>
      </c>
    </row>
    <row r="2" spans="2:20" ht="20.100000000000001" customHeight="1">
      <c r="B2" s="1" t="s">
        <v>1</v>
      </c>
      <c r="C2" s="1"/>
      <c r="D2" s="19"/>
      <c r="E2" s="1"/>
    </row>
    <row r="3" spans="2:20" ht="20.100000000000001" customHeight="1">
      <c r="B3" s="1" t="s">
        <v>301</v>
      </c>
      <c r="C3" s="1"/>
      <c r="D3" s="19"/>
      <c r="E3" s="1"/>
      <c r="T3" s="40"/>
    </row>
    <row r="4" spans="2:20" ht="20.100000000000001" customHeight="1">
      <c r="F4" s="35"/>
      <c r="G4" s="38"/>
      <c r="H4" s="35"/>
      <c r="I4" s="38"/>
      <c r="T4" s="40"/>
    </row>
    <row r="5" spans="2:20" ht="57.75" customHeight="1">
      <c r="B5" s="141" t="s">
        <v>302</v>
      </c>
      <c r="C5" s="166" t="s">
        <v>26</v>
      </c>
      <c r="D5" s="166" t="s">
        <v>27</v>
      </c>
      <c r="E5" s="166" t="s">
        <v>28</v>
      </c>
      <c r="F5" s="166" t="s">
        <v>29</v>
      </c>
      <c r="G5" s="167" t="s">
        <v>8</v>
      </c>
      <c r="H5" s="167" t="s">
        <v>9</v>
      </c>
      <c r="I5" s="188" t="s">
        <v>419</v>
      </c>
      <c r="J5" s="124" t="s">
        <v>415</v>
      </c>
      <c r="K5" s="124" t="s">
        <v>416</v>
      </c>
      <c r="L5" s="124" t="s">
        <v>417</v>
      </c>
      <c r="M5" s="124" t="s">
        <v>418</v>
      </c>
    </row>
    <row r="6" spans="2:20" ht="20.100000000000001" customHeight="1">
      <c r="B6" s="43" t="s">
        <v>304</v>
      </c>
      <c r="C6" s="117">
        <v>1989</v>
      </c>
      <c r="D6" s="117">
        <v>2013</v>
      </c>
      <c r="E6" s="198">
        <v>1909</v>
      </c>
      <c r="F6" s="200">
        <v>2463</v>
      </c>
      <c r="G6" s="161">
        <f>SUM(C6:F6)</f>
        <v>8374</v>
      </c>
      <c r="H6" s="161">
        <f>AVERAGE(C6:F6)</f>
        <v>2093.5</v>
      </c>
      <c r="I6" s="199">
        <f>(F6*100)/$I$1</f>
        <v>16.593680522805364</v>
      </c>
      <c r="J6" s="142">
        <f>((Unidades_10mais[[#This Row],[2° trim 2025]]-Unidades_10mais[[#This Row],[1° trim 2025]])/Unidades_10mais[[#This Row],[1° trim 2025]])</f>
        <v>1.2066365007541479E-2</v>
      </c>
      <c r="K6" s="143">
        <f>((Unidades_10mais[[#This Row],[3° trim 2025]]-Unidades_10mais[[#This Row],[2° trim 2025]])/Unidades_10mais[[#This Row],[2° trim 2025]])</f>
        <v>-5.1664182811723795E-2</v>
      </c>
      <c r="L6" s="143">
        <f>((Unidades_10mais[[#This Row],[4° trim 2025]]-Unidades_10mais[[#This Row],[3° trim 2025]])/Unidades_10mais[[#This Row],[3° trim 2025]])</f>
        <v>0.29020429544264015</v>
      </c>
      <c r="M6" s="143">
        <f>((Unidades_10mais[[#This Row],[4° trim 2025]]-Unidades_10mais[[#This Row],[1° trim 2025]])/Unidades_10mais[[#This Row],[1° trim 2025]])</f>
        <v>0.23831070889894421</v>
      </c>
    </row>
    <row r="7" spans="2:20" ht="20.100000000000001" customHeight="1">
      <c r="B7" s="43" t="s">
        <v>303</v>
      </c>
      <c r="C7" s="117">
        <v>1142</v>
      </c>
      <c r="D7" s="117">
        <v>1190</v>
      </c>
      <c r="E7" s="198">
        <v>2086</v>
      </c>
      <c r="F7" s="200">
        <v>1620</v>
      </c>
      <c r="G7" s="161">
        <f>SUM(C7:F7)</f>
        <v>6038</v>
      </c>
      <c r="H7" s="161">
        <f>AVERAGE(C7:F7)</f>
        <v>1509.5</v>
      </c>
      <c r="I7" s="199">
        <f>(F7*100)/$I$1</f>
        <v>10.91423566664421</v>
      </c>
      <c r="J7" s="142">
        <f>((Unidades_10mais[[#This Row],[2° trim 2025]]-Unidades_10mais[[#This Row],[1° trim 2025]])/Unidades_10mais[[#This Row],[1° trim 2025]])</f>
        <v>4.2031523642732049E-2</v>
      </c>
      <c r="K7" s="142">
        <f>((Unidades_10mais[[#This Row],[3° trim 2025]]-Unidades_10mais[[#This Row],[2° trim 2025]])/Unidades_10mais[[#This Row],[2° trim 2025]])</f>
        <v>0.75294117647058822</v>
      </c>
      <c r="L7" s="142">
        <f>((Unidades_10mais[[#This Row],[4° trim 2025]]-Unidades_10mais[[#This Row],[3° trim 2025]])/Unidades_10mais[[#This Row],[3° trim 2025]])</f>
        <v>-0.2233940556088207</v>
      </c>
      <c r="M7" s="142">
        <f>((Unidades_10mais[[#This Row],[4° trim 2025]]-Unidades_10mais[[#This Row],[1° trim 2025]])/Unidades_10mais[[#This Row],[1° trim 2025]])</f>
        <v>0.41856392294220668</v>
      </c>
    </row>
    <row r="8" spans="2:20" ht="20.100000000000001" customHeight="1">
      <c r="B8" s="43" t="s">
        <v>308</v>
      </c>
      <c r="C8" s="117">
        <v>1810</v>
      </c>
      <c r="D8" s="117">
        <v>1192</v>
      </c>
      <c r="E8" s="198">
        <v>966</v>
      </c>
      <c r="F8" s="200">
        <v>1365</v>
      </c>
      <c r="G8" s="161">
        <f>SUM(C8:F8)</f>
        <v>5333</v>
      </c>
      <c r="H8" s="161">
        <f>AVERAGE(C8:F8)</f>
        <v>1333.25</v>
      </c>
      <c r="I8" s="199">
        <f>(F8*100)/$I$1</f>
        <v>9.1962541265242876</v>
      </c>
      <c r="J8" s="142">
        <f>((Unidades_10mais[[#This Row],[2° trim 2025]]-Unidades_10mais[[#This Row],[1° trim 2025]])/Unidades_10mais[[#This Row],[1° trim 2025]])</f>
        <v>-0.34143646408839778</v>
      </c>
      <c r="K8" s="143">
        <f>((Unidades_10mais[[#This Row],[3° trim 2025]]-Unidades_10mais[[#This Row],[2° trim 2025]])/Unidades_10mais[[#This Row],[2° trim 2025]])</f>
        <v>-0.18959731543624161</v>
      </c>
      <c r="L8" s="143">
        <f>((Unidades_10mais[[#This Row],[4° trim 2025]]-Unidades_10mais[[#This Row],[3° trim 2025]])/Unidades_10mais[[#This Row],[3° trim 2025]])</f>
        <v>0.41304347826086957</v>
      </c>
      <c r="M8" s="143">
        <f>((Unidades_10mais[[#This Row],[4° trim 2025]]-Unidades_10mais[[#This Row],[1° trim 2025]])/Unidades_10mais[[#This Row],[1° trim 2025]])</f>
        <v>-0.24585635359116023</v>
      </c>
    </row>
    <row r="9" spans="2:20" ht="20.100000000000001" customHeight="1">
      <c r="B9" s="43" t="s">
        <v>305</v>
      </c>
      <c r="C9" s="117">
        <v>1771</v>
      </c>
      <c r="D9" s="117">
        <v>1601</v>
      </c>
      <c r="E9" s="198">
        <v>1232</v>
      </c>
      <c r="F9" s="200">
        <v>1047</v>
      </c>
      <c r="G9" s="161">
        <f>SUM(C9:F9)</f>
        <v>5651</v>
      </c>
      <c r="H9" s="161">
        <f>AVERAGE(C9:F9)</f>
        <v>1412.75</v>
      </c>
      <c r="I9" s="199">
        <f>(F9*100)/$I$1</f>
        <v>7.053830088257091</v>
      </c>
      <c r="J9" s="142">
        <f>((Unidades_10mais[[#This Row],[2° trim 2025]]-Unidades_10mais[[#This Row],[1° trim 2025]])/Unidades_10mais[[#This Row],[1° trim 2025]])</f>
        <v>-9.5990965556182944E-2</v>
      </c>
      <c r="K9" s="143">
        <f>((Unidades_10mais[[#This Row],[3° trim 2025]]-Unidades_10mais[[#This Row],[2° trim 2025]])/Unidades_10mais[[#This Row],[2° trim 2025]])</f>
        <v>-0.23048094940662087</v>
      </c>
      <c r="L9" s="143">
        <f>((Unidades_10mais[[#This Row],[4° trim 2025]]-Unidades_10mais[[#This Row],[3° trim 2025]])/Unidades_10mais[[#This Row],[3° trim 2025]])</f>
        <v>-0.15016233766233766</v>
      </c>
      <c r="M9" s="143">
        <f>((Unidades_10mais[[#This Row],[4° trim 2025]]-Unidades_10mais[[#This Row],[1° trim 2025]])/Unidades_10mais[[#This Row],[1° trim 2025]])</f>
        <v>-0.40880858272162618</v>
      </c>
    </row>
    <row r="10" spans="2:20" ht="20.100000000000001" customHeight="1">
      <c r="B10" s="43" t="s">
        <v>307</v>
      </c>
      <c r="C10" s="117">
        <v>1216</v>
      </c>
      <c r="D10" s="117">
        <v>1142</v>
      </c>
      <c r="E10" s="198">
        <v>1003</v>
      </c>
      <c r="F10" s="200">
        <v>892</v>
      </c>
      <c r="G10" s="161">
        <f>SUM(C10:F10)</f>
        <v>4253</v>
      </c>
      <c r="H10" s="161">
        <f>AVERAGE(C10:F10)</f>
        <v>1063.25</v>
      </c>
      <c r="I10" s="199">
        <f>(F10*100)/$I$1</f>
        <v>6.0095667991645891</v>
      </c>
      <c r="J10" s="142">
        <f>((Unidades_10mais[[#This Row],[2° trim 2025]]-Unidades_10mais[[#This Row],[1° trim 2025]])/Unidades_10mais[[#This Row],[1° trim 2025]])</f>
        <v>-6.0855263157894739E-2</v>
      </c>
      <c r="K10" s="143">
        <f>((Unidades_10mais[[#This Row],[3° trim 2025]]-Unidades_10mais[[#This Row],[2° trim 2025]])/Unidades_10mais[[#This Row],[2° trim 2025]])</f>
        <v>-0.12171628721541156</v>
      </c>
      <c r="L10" s="143">
        <f>((Unidades_10mais[[#This Row],[4° trim 2025]]-Unidades_10mais[[#This Row],[3° trim 2025]])/Unidades_10mais[[#This Row],[3° trim 2025]])</f>
        <v>-0.1106679960119641</v>
      </c>
      <c r="M10" s="143">
        <f>((Unidades_10mais[[#This Row],[4° trim 2025]]-Unidades_10mais[[#This Row],[1° trim 2025]])/Unidades_10mais[[#This Row],[1° trim 2025]])</f>
        <v>-0.26644736842105265</v>
      </c>
    </row>
    <row r="11" spans="2:20" ht="20.100000000000001" customHeight="1">
      <c r="B11" s="43" t="s">
        <v>309</v>
      </c>
      <c r="C11" s="117">
        <v>1020</v>
      </c>
      <c r="D11" s="117">
        <v>907</v>
      </c>
      <c r="E11" s="198">
        <v>900</v>
      </c>
      <c r="F11" s="200">
        <v>747</v>
      </c>
      <c r="G11" s="161">
        <f>SUM(C11:F11)</f>
        <v>3574</v>
      </c>
      <c r="H11" s="161">
        <f>AVERAGE(C11:F11)</f>
        <v>893.5</v>
      </c>
      <c r="I11" s="199">
        <f>(F11*100)/$I$1</f>
        <v>5.0326753351748295</v>
      </c>
      <c r="J11" s="142">
        <f>((Unidades_10mais[[#This Row],[2° trim 2025]]-Unidades_10mais[[#This Row],[1° trim 2025]])/Unidades_10mais[[#This Row],[1° trim 2025]])</f>
        <v>-0.11078431372549019</v>
      </c>
      <c r="K11" s="143">
        <f>((Unidades_10mais[[#This Row],[3° trim 2025]]-Unidades_10mais[[#This Row],[2° trim 2025]])/Unidades_10mais[[#This Row],[2° trim 2025]])</f>
        <v>-7.717750826901874E-3</v>
      </c>
      <c r="L11" s="143">
        <f>((Unidades_10mais[[#This Row],[4° trim 2025]]-Unidades_10mais[[#This Row],[3° trim 2025]])/Unidades_10mais[[#This Row],[3° trim 2025]])</f>
        <v>-0.17</v>
      </c>
      <c r="M11" s="143">
        <f>((Unidades_10mais[[#This Row],[4° trim 2025]]-Unidades_10mais[[#This Row],[1° trim 2025]])/Unidades_10mais[[#This Row],[1° trim 2025]])</f>
        <v>-0.2676470588235294</v>
      </c>
    </row>
    <row r="12" spans="2:20" ht="20.100000000000001" customHeight="1">
      <c r="B12" s="43" t="s">
        <v>306</v>
      </c>
      <c r="C12" s="117">
        <v>1040</v>
      </c>
      <c r="D12" s="117">
        <v>825</v>
      </c>
      <c r="E12" s="198">
        <v>1117</v>
      </c>
      <c r="F12" s="200">
        <v>731</v>
      </c>
      <c r="G12" s="161">
        <f>SUM(C12:F12)</f>
        <v>3713</v>
      </c>
      <c r="H12" s="161">
        <f>AVERAGE(C12:F12)</f>
        <v>928.25</v>
      </c>
      <c r="I12" s="199">
        <f>(F12*100)/$I$1</f>
        <v>4.9248804150104428</v>
      </c>
      <c r="J12" s="142">
        <f>((Unidades_10mais[[#This Row],[2° trim 2025]]-Unidades_10mais[[#This Row],[1° trim 2025]])/Unidades_10mais[[#This Row],[1° trim 2025]])</f>
        <v>-0.20673076923076922</v>
      </c>
      <c r="K12" s="143">
        <f>((Unidades_10mais[[#This Row],[3° trim 2025]]-Unidades_10mais[[#This Row],[2° trim 2025]])/Unidades_10mais[[#This Row],[2° trim 2025]])</f>
        <v>0.35393939393939394</v>
      </c>
      <c r="L12" s="143">
        <f>((Unidades_10mais[[#This Row],[4° trim 2025]]-Unidades_10mais[[#This Row],[3° trim 2025]])/Unidades_10mais[[#This Row],[3° trim 2025]])</f>
        <v>-0.34556848701880039</v>
      </c>
      <c r="M12" s="143">
        <f>((Unidades_10mais[[#This Row],[4° trim 2025]]-Unidades_10mais[[#This Row],[1° trim 2025]])/Unidades_10mais[[#This Row],[1° trim 2025]])</f>
        <v>-0.29711538461538461</v>
      </c>
    </row>
    <row r="13" spans="2:20" ht="20.100000000000001" customHeight="1">
      <c r="B13" s="43" t="s">
        <v>310</v>
      </c>
      <c r="C13" s="117">
        <v>1525</v>
      </c>
      <c r="D13" s="117">
        <v>967</v>
      </c>
      <c r="E13" s="198">
        <v>789</v>
      </c>
      <c r="F13" s="200">
        <v>488</v>
      </c>
      <c r="G13" s="161">
        <f>SUM(C13:F13)</f>
        <v>3769</v>
      </c>
      <c r="H13" s="161">
        <f>AVERAGE(C13:F13)</f>
        <v>942.25</v>
      </c>
      <c r="I13" s="199">
        <f>(F13*100)/$I$1</f>
        <v>3.2877450650138114</v>
      </c>
      <c r="J13" s="142">
        <f>((Unidades_10mais[[#This Row],[2° trim 2025]]-Unidades_10mais[[#This Row],[1° trim 2025]])/Unidades_10mais[[#This Row],[1° trim 2025]])</f>
        <v>-0.36590163934426229</v>
      </c>
      <c r="K13" s="143">
        <f>((Unidades_10mais[[#This Row],[3° trim 2025]]-Unidades_10mais[[#This Row],[2° trim 2025]])/Unidades_10mais[[#This Row],[2° trim 2025]])</f>
        <v>-0.18407445708376421</v>
      </c>
      <c r="L13" s="143">
        <f>((Unidades_10mais[[#This Row],[4° trim 2025]]-Unidades_10mais[[#This Row],[3° trim 2025]])/Unidades_10mais[[#This Row],[3° trim 2025]])</f>
        <v>-0.38149556400506973</v>
      </c>
      <c r="M13" s="143">
        <f>((Unidades_10mais[[#This Row],[4° trim 2025]]-Unidades_10mais[[#This Row],[1° trim 2025]])/Unidades_10mais[[#This Row],[1° trim 2025]])</f>
        <v>-0.68</v>
      </c>
    </row>
    <row r="14" spans="2:20" ht="20.100000000000001" customHeight="1">
      <c r="B14" s="43" t="s">
        <v>48</v>
      </c>
      <c r="C14" s="117">
        <v>1103</v>
      </c>
      <c r="D14" s="117">
        <v>1201</v>
      </c>
      <c r="E14" s="198">
        <v>629</v>
      </c>
      <c r="F14" s="200">
        <v>488</v>
      </c>
      <c r="G14" s="161">
        <f>SUM(C14:F14)</f>
        <v>3421</v>
      </c>
      <c r="H14" s="161">
        <f>AVERAGE(C14:F14)</f>
        <v>855.25</v>
      </c>
      <c r="I14" s="199">
        <f>(F14*100)/$I$1</f>
        <v>3.2877450650138114</v>
      </c>
      <c r="J14" s="142">
        <f>((Unidades_10mais[[#This Row],[2° trim 2025]]-Unidades_10mais[[#This Row],[1° trim 2025]])/Unidades_10mais[[#This Row],[1° trim 2025]])</f>
        <v>8.8848594741613787E-2</v>
      </c>
      <c r="K14" s="143">
        <f>((Unidades_10mais[[#This Row],[3° trim 2025]]-Unidades_10mais[[#This Row],[2° trim 2025]])/Unidades_10mais[[#This Row],[2° trim 2025]])</f>
        <v>-0.47626977518734387</v>
      </c>
      <c r="L14" s="143">
        <f>((Unidades_10mais[[#This Row],[4° trim 2025]]-Unidades_10mais[[#This Row],[3° trim 2025]])/Unidades_10mais[[#This Row],[3° trim 2025]])</f>
        <v>-0.22416534181240064</v>
      </c>
      <c r="M14" s="143">
        <f>((Unidades_10mais[[#This Row],[4° trim 2025]]-Unidades_10mais[[#This Row],[1° trim 2025]])/Unidades_10mais[[#This Row],[1° trim 2025]])</f>
        <v>-0.557570262919311</v>
      </c>
    </row>
    <row r="15" spans="2:20" ht="20.100000000000001" customHeight="1">
      <c r="B15" s="43" t="s">
        <v>311</v>
      </c>
      <c r="C15" s="117">
        <v>486</v>
      </c>
      <c r="D15" s="117">
        <v>365</v>
      </c>
      <c r="E15" s="198">
        <v>318</v>
      </c>
      <c r="F15" s="200">
        <v>358</v>
      </c>
      <c r="G15" s="161">
        <f>SUM(C15:F15)</f>
        <v>1527</v>
      </c>
      <c r="H15" s="161">
        <f>AVERAGE(C15:F15)</f>
        <v>381.75</v>
      </c>
      <c r="I15" s="199">
        <f>(F15*100)/$I$1</f>
        <v>2.411911338678165</v>
      </c>
      <c r="J15" s="142">
        <f>((Unidades_10mais[[#This Row],[2° trim 2025]]-Unidades_10mais[[#This Row],[1° trim 2025]])/Unidades_10mais[[#This Row],[1° trim 2025]])</f>
        <v>-0.24897119341563786</v>
      </c>
      <c r="K15" s="143">
        <f>((Unidades_10mais[[#This Row],[3° trim 2025]]-Unidades_10mais[[#This Row],[2° trim 2025]])/Unidades_10mais[[#This Row],[2° trim 2025]])</f>
        <v>-0.12876712328767123</v>
      </c>
      <c r="L15" s="143">
        <f>((Unidades_10mais[[#This Row],[4° trim 2025]]-Unidades_10mais[[#This Row],[3° trim 2025]])/Unidades_10mais[[#This Row],[3° trim 2025]])</f>
        <v>0.12578616352201258</v>
      </c>
      <c r="M15" s="143">
        <f>((Unidades_10mais[[#This Row],[4° trim 2025]]-Unidades_10mais[[#This Row],[1° trim 2025]])/Unidades_10mais[[#This Row],[1° trim 2025]])</f>
        <v>-0.26337448559670784</v>
      </c>
    </row>
    <row r="16" spans="2:20" s="39" customFormat="1" ht="20.100000000000001" customHeight="1">
      <c r="B16" s="126" t="s">
        <v>312</v>
      </c>
      <c r="C16" s="163">
        <f>SUBTOTAL(109,Unidades_10mais[1° trim 2025])</f>
        <v>13102</v>
      </c>
      <c r="D16" s="163">
        <f>SUBTOTAL(109,Unidades_10mais[2° trim 2025])</f>
        <v>11403</v>
      </c>
      <c r="E16" s="163">
        <f>SUBTOTAL(109,Unidades_10mais[3° trim 2025])</f>
        <v>10949</v>
      </c>
      <c r="F16" s="163">
        <f>SUBTOTAL(109,Unidades_10mais[4° trim 2025])</f>
        <v>10199</v>
      </c>
      <c r="G16" s="163">
        <f>SUBTOTAL(109,Unidades_10mais[Total])</f>
        <v>45653</v>
      </c>
      <c r="H16" s="163">
        <f>SUBTOTAL(109,Unidades_10mais[Média])</f>
        <v>11413.25</v>
      </c>
      <c r="I16" s="127">
        <f>SUBTOTAL(109,Unidades_10mais[% em relação ao total geral do 4° trim. 2025 (excetuando-se denúncias)])</f>
        <v>68.712524422286606</v>
      </c>
      <c r="J16" s="126"/>
      <c r="K16" s="126"/>
      <c r="L16" s="126"/>
      <c r="M16" s="126"/>
      <c r="N16" s="40"/>
      <c r="O16" s="40"/>
    </row>
    <row r="17" spans="2:42" ht="20.100000000000001" customHeight="1">
      <c r="B17" s="193" t="s">
        <v>384</v>
      </c>
      <c r="C17" s="91"/>
      <c r="D17" s="107"/>
      <c r="E17" s="91"/>
      <c r="F17" s="91"/>
      <c r="G17" s="91"/>
      <c r="H17" s="107" t="s">
        <v>53</v>
      </c>
      <c r="I17" s="194">
        <f>100-I16</f>
        <v>31.287475577713394</v>
      </c>
      <c r="J17" s="39"/>
      <c r="K17" s="39"/>
      <c r="L17" s="39"/>
      <c r="M17" s="39"/>
      <c r="N17" s="39"/>
      <c r="O17" s="197"/>
      <c r="P17" s="197"/>
      <c r="Q17" s="197"/>
      <c r="R17" s="39"/>
      <c r="S17" s="39"/>
      <c r="T17" s="39"/>
      <c r="U17" s="39"/>
      <c r="V17" s="39"/>
      <c r="W17" s="39"/>
      <c r="X17" s="41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2:42" ht="20.100000000000001" customHeight="1">
      <c r="B18" s="91"/>
      <c r="C18" s="91"/>
      <c r="D18" s="107"/>
      <c r="E18" s="91"/>
      <c r="F18" s="91"/>
      <c r="G18" s="91"/>
      <c r="H18" s="106"/>
      <c r="I18" s="128"/>
      <c r="J18" s="39"/>
      <c r="K18" s="39"/>
      <c r="L18" s="39"/>
      <c r="M18" s="39"/>
      <c r="N18" s="39"/>
      <c r="O18" s="39"/>
      <c r="P18" s="41"/>
      <c r="Q18" s="39"/>
      <c r="R18" s="39"/>
      <c r="S18" s="39"/>
      <c r="T18" s="39"/>
      <c r="U18" s="39"/>
      <c r="V18" s="39"/>
      <c r="W18" s="39"/>
      <c r="X18" s="41"/>
      <c r="Y18" s="39"/>
      <c r="Z18" s="39"/>
      <c r="AA18" s="39"/>
      <c r="AB18" s="39"/>
      <c r="AC18" s="39"/>
      <c r="AD18" s="67"/>
      <c r="AE18" s="68"/>
      <c r="AF18" s="68"/>
      <c r="AG18" s="68"/>
      <c r="AH18" s="68"/>
      <c r="AI18" s="5"/>
      <c r="AJ18" s="5"/>
      <c r="AK18" s="13"/>
      <c r="AL18" s="5"/>
      <c r="AM18" s="5"/>
      <c r="AN18" s="5"/>
      <c r="AO18" s="5"/>
      <c r="AP18" s="31"/>
    </row>
    <row r="19" spans="2:42" ht="20.100000000000001" customHeight="1">
      <c r="B19" s="129"/>
      <c r="C19" s="129"/>
      <c r="D19" s="130"/>
      <c r="E19" s="102"/>
      <c r="F19" s="102"/>
      <c r="G19" s="102"/>
      <c r="H19" s="102"/>
      <c r="I19" s="102"/>
      <c r="J19" s="39"/>
      <c r="K19" s="39"/>
      <c r="L19" s="39"/>
      <c r="M19" s="69"/>
      <c r="N19" s="39"/>
      <c r="O19" s="197"/>
      <c r="P19" s="197"/>
      <c r="Q19" s="197"/>
      <c r="R19" s="39"/>
      <c r="S19" s="39"/>
      <c r="T19" s="39"/>
      <c r="U19" s="39"/>
      <c r="V19" s="39"/>
      <c r="W19" s="39"/>
      <c r="X19" s="41"/>
      <c r="Y19" s="39"/>
      <c r="Z19" s="39"/>
      <c r="AA19" s="39"/>
      <c r="AB19" s="39"/>
      <c r="AC19" s="39"/>
      <c r="AD19" s="67"/>
      <c r="AE19" s="68"/>
      <c r="AF19" s="68"/>
      <c r="AG19" s="68"/>
      <c r="AH19" s="68"/>
      <c r="AI19" s="5"/>
      <c r="AJ19" s="5"/>
      <c r="AK19" s="13"/>
      <c r="AL19" s="5"/>
      <c r="AM19" s="5"/>
      <c r="AN19" s="5"/>
      <c r="AO19" s="5"/>
      <c r="AP19" s="31"/>
    </row>
    <row r="20" spans="2:42" ht="20.100000000000001" customHeight="1">
      <c r="B20" s="95" t="s">
        <v>313</v>
      </c>
      <c r="C20" s="96" t="s">
        <v>314</v>
      </c>
      <c r="D20" s="107"/>
      <c r="E20" s="91"/>
      <c r="F20" s="131"/>
      <c r="G20" s="91"/>
      <c r="H20" s="91"/>
      <c r="I20" s="91"/>
      <c r="J20" s="39"/>
      <c r="K20" s="39"/>
      <c r="L20" s="39"/>
      <c r="M20" s="39"/>
      <c r="N20" s="39"/>
      <c r="O20" s="39"/>
      <c r="P20" s="41"/>
      <c r="Q20" s="39"/>
      <c r="R20" s="39"/>
      <c r="S20" s="39"/>
      <c r="T20" s="39"/>
      <c r="U20" s="39"/>
      <c r="V20" s="39"/>
      <c r="W20" s="39"/>
      <c r="X20" s="70"/>
      <c r="Y20" s="39"/>
      <c r="Z20" s="39"/>
      <c r="AA20" s="39"/>
      <c r="AB20" s="39"/>
      <c r="AC20" s="39"/>
      <c r="AD20" s="67"/>
      <c r="AE20" s="68"/>
      <c r="AF20" s="68"/>
      <c r="AG20" s="68"/>
      <c r="AH20" s="68"/>
      <c r="AI20" s="5"/>
      <c r="AJ20" s="5"/>
      <c r="AK20" s="13"/>
      <c r="AL20" s="5"/>
      <c r="AM20" s="5"/>
      <c r="AN20" s="5"/>
      <c r="AO20" s="5"/>
      <c r="AP20" s="31"/>
    </row>
    <row r="21" spans="2:42" ht="20.100000000000001" customHeight="1">
      <c r="B21" s="97" t="s">
        <v>311</v>
      </c>
      <c r="C21" s="98">
        <v>2.411911338678165</v>
      </c>
      <c r="D21" s="106" t="s">
        <v>304</v>
      </c>
      <c r="E21" s="108">
        <v>2093.5</v>
      </c>
      <c r="F21" s="131"/>
      <c r="G21" s="91"/>
      <c r="H21" s="91"/>
      <c r="I21" s="91"/>
      <c r="J21" s="39"/>
      <c r="K21" s="39"/>
      <c r="L21" s="39"/>
      <c r="M21" s="39"/>
      <c r="N21" s="39"/>
      <c r="R21" s="39"/>
      <c r="S21" s="39"/>
      <c r="T21" s="39"/>
      <c r="U21" s="39"/>
      <c r="V21" s="39"/>
      <c r="W21" s="39"/>
      <c r="X21" s="41"/>
      <c r="Y21" s="39"/>
      <c r="Z21" s="39"/>
      <c r="AA21" s="39"/>
      <c r="AB21" s="39"/>
      <c r="AC21" s="39"/>
      <c r="AD21" s="67"/>
      <c r="AE21" s="68"/>
      <c r="AF21" s="68"/>
      <c r="AG21" s="68"/>
      <c r="AH21" s="68"/>
      <c r="AI21" s="5"/>
      <c r="AJ21" s="5"/>
      <c r="AK21" s="13"/>
      <c r="AL21" s="5"/>
      <c r="AM21" s="5"/>
      <c r="AN21" s="5"/>
      <c r="AO21" s="5"/>
      <c r="AP21" s="31"/>
    </row>
    <row r="22" spans="2:42" ht="20.100000000000001" customHeight="1">
      <c r="B22" s="99" t="s">
        <v>310</v>
      </c>
      <c r="C22" s="100">
        <v>3.2877450650138114</v>
      </c>
      <c r="D22" s="109" t="s">
        <v>303</v>
      </c>
      <c r="E22" s="108">
        <v>1509.5</v>
      </c>
      <c r="F22" s="102"/>
      <c r="G22" s="102"/>
      <c r="H22" s="102"/>
      <c r="I22" s="102"/>
      <c r="J22" s="39"/>
      <c r="K22" s="39"/>
      <c r="L22" s="39"/>
      <c r="M22" s="39"/>
      <c r="N22" s="39"/>
      <c r="O22" s="197"/>
      <c r="P22" s="197"/>
      <c r="Q22" s="197"/>
      <c r="R22" s="39"/>
      <c r="S22" s="39"/>
      <c r="T22" s="39"/>
      <c r="U22" s="39"/>
      <c r="V22" s="39"/>
      <c r="W22" s="39"/>
      <c r="X22" s="41"/>
      <c r="Y22" s="39"/>
      <c r="Z22" s="39"/>
      <c r="AA22" s="39"/>
      <c r="AB22" s="39"/>
      <c r="AC22" s="39"/>
      <c r="AD22" s="67"/>
      <c r="AE22" s="68"/>
      <c r="AF22" s="68"/>
      <c r="AG22" s="68"/>
      <c r="AH22" s="68"/>
      <c r="AI22" s="5"/>
      <c r="AJ22" s="5"/>
      <c r="AK22" s="13"/>
      <c r="AL22" s="5"/>
      <c r="AM22" s="5"/>
      <c r="AN22" s="5"/>
      <c r="AO22" s="5"/>
      <c r="AP22" s="31"/>
    </row>
    <row r="23" spans="2:42" ht="20.100000000000001" customHeight="1">
      <c r="B23" s="99" t="s">
        <v>48</v>
      </c>
      <c r="C23" s="101">
        <v>3.2877450650138114</v>
      </c>
      <c r="D23" s="109" t="s">
        <v>305</v>
      </c>
      <c r="E23" s="110">
        <v>1412.75</v>
      </c>
      <c r="F23" s="131"/>
      <c r="G23" s="91"/>
      <c r="H23" s="91"/>
      <c r="I23" s="91"/>
      <c r="J23" s="39"/>
      <c r="K23" s="39"/>
      <c r="L23" s="39"/>
      <c r="M23" s="39"/>
      <c r="N23" s="39"/>
      <c r="O23" s="72"/>
      <c r="P23" s="72"/>
      <c r="Q23" s="72"/>
      <c r="R23" s="39"/>
      <c r="S23" s="39"/>
      <c r="T23" s="39"/>
      <c r="U23" s="39"/>
      <c r="V23" s="39"/>
      <c r="W23" s="39"/>
      <c r="X23" s="41"/>
      <c r="Y23" s="39"/>
      <c r="Z23" s="39"/>
      <c r="AA23" s="39"/>
      <c r="AB23" s="39"/>
      <c r="AC23" s="39"/>
      <c r="AD23" s="67"/>
      <c r="AE23" s="68"/>
      <c r="AF23" s="68"/>
      <c r="AG23" s="68"/>
      <c r="AH23" s="68"/>
      <c r="AI23" s="5"/>
      <c r="AJ23" s="5"/>
      <c r="AK23" s="13"/>
      <c r="AL23" s="5"/>
      <c r="AM23" s="5"/>
      <c r="AN23" s="5"/>
      <c r="AO23" s="5"/>
      <c r="AP23" s="31"/>
    </row>
    <row r="24" spans="2:42" ht="20.100000000000001" customHeight="1">
      <c r="B24" s="97" t="s">
        <v>306</v>
      </c>
      <c r="C24" s="98">
        <v>4.9248804150104428</v>
      </c>
      <c r="D24" s="109" t="s">
        <v>308</v>
      </c>
      <c r="E24" s="108">
        <v>1333.25</v>
      </c>
      <c r="F24" s="131"/>
      <c r="G24" s="91"/>
      <c r="H24" s="91"/>
      <c r="I24" s="91"/>
      <c r="J24" s="39"/>
      <c r="K24" s="39"/>
      <c r="L24" s="39"/>
      <c r="M24" s="39"/>
      <c r="N24" s="39"/>
      <c r="O24" s="72"/>
      <c r="P24" s="72"/>
      <c r="Q24" s="72"/>
      <c r="R24" s="39"/>
      <c r="S24" s="39"/>
      <c r="T24" s="39"/>
      <c r="U24" s="39"/>
      <c r="V24" s="39"/>
      <c r="W24" s="39"/>
      <c r="X24" s="41"/>
      <c r="Y24" s="39"/>
      <c r="Z24" s="39"/>
      <c r="AA24" s="39"/>
      <c r="AB24" s="39"/>
      <c r="AC24" s="39"/>
      <c r="AD24" s="67"/>
      <c r="AE24" s="68"/>
      <c r="AF24" s="68"/>
      <c r="AG24" s="68"/>
      <c r="AH24" s="68"/>
      <c r="AI24" s="5"/>
      <c r="AJ24" s="5"/>
      <c r="AK24" s="13"/>
      <c r="AL24" s="5"/>
      <c r="AM24" s="5"/>
      <c r="AN24" s="5"/>
      <c r="AO24" s="5"/>
      <c r="AP24" s="31"/>
    </row>
    <row r="25" spans="2:42" ht="20.100000000000001" customHeight="1">
      <c r="B25" s="99" t="s">
        <v>309</v>
      </c>
      <c r="C25" s="101">
        <v>5.0326753351748295</v>
      </c>
      <c r="D25" s="109" t="s">
        <v>307</v>
      </c>
      <c r="E25" s="108">
        <v>1063.25</v>
      </c>
      <c r="F25" s="131"/>
      <c r="G25" s="91"/>
      <c r="H25" s="131"/>
      <c r="I25" s="91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1"/>
      <c r="Y25" s="39"/>
      <c r="Z25" s="39"/>
      <c r="AA25" s="39"/>
      <c r="AB25" s="39"/>
      <c r="AC25" s="39"/>
      <c r="AD25" s="67"/>
      <c r="AE25" s="68"/>
      <c r="AF25" s="68"/>
      <c r="AG25" s="68"/>
      <c r="AH25" s="68"/>
      <c r="AI25" s="5"/>
      <c r="AJ25" s="5"/>
      <c r="AK25" s="13"/>
      <c r="AL25" s="5"/>
      <c r="AM25" s="5"/>
      <c r="AN25" s="5"/>
      <c r="AO25" s="5"/>
      <c r="AP25" s="31"/>
    </row>
    <row r="26" spans="2:42" ht="20.100000000000001" customHeight="1">
      <c r="B26" s="97" t="s">
        <v>307</v>
      </c>
      <c r="C26" s="98">
        <v>6.0095667991645891</v>
      </c>
      <c r="D26" s="109" t="s">
        <v>310</v>
      </c>
      <c r="E26" s="108">
        <v>942.25</v>
      </c>
      <c r="F26" s="135"/>
      <c r="G26" s="135"/>
      <c r="H26" s="135"/>
      <c r="I26" s="135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1"/>
      <c r="Y26" s="39"/>
      <c r="Z26" s="39"/>
      <c r="AA26" s="39"/>
      <c r="AB26" s="39"/>
      <c r="AC26" s="39"/>
      <c r="AD26" s="67"/>
      <c r="AE26" s="68"/>
      <c r="AF26" s="68"/>
      <c r="AG26" s="68"/>
      <c r="AH26" s="68"/>
      <c r="AI26" s="5"/>
      <c r="AJ26" s="5"/>
      <c r="AK26" s="13"/>
      <c r="AL26" s="5"/>
      <c r="AM26" s="5"/>
      <c r="AN26" s="5"/>
      <c r="AO26" s="5"/>
      <c r="AP26" s="31"/>
    </row>
    <row r="27" spans="2:42" ht="20.100000000000001" customHeight="1">
      <c r="B27" s="97" t="s">
        <v>305</v>
      </c>
      <c r="C27" s="98">
        <v>7.053830088257091</v>
      </c>
      <c r="D27" s="109" t="s">
        <v>306</v>
      </c>
      <c r="E27" s="111">
        <v>928.25</v>
      </c>
      <c r="F27" s="131"/>
      <c r="G27" s="91"/>
      <c r="H27" s="131"/>
      <c r="I27" s="91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67"/>
      <c r="AE27" s="68"/>
      <c r="AF27" s="68"/>
      <c r="AG27" s="68"/>
      <c r="AH27" s="68"/>
      <c r="AI27" s="5"/>
      <c r="AJ27" s="5"/>
      <c r="AK27" s="13"/>
      <c r="AL27" s="5"/>
      <c r="AM27" s="5"/>
      <c r="AN27" s="5"/>
      <c r="AO27" s="5"/>
      <c r="AP27" s="31"/>
    </row>
    <row r="28" spans="2:42" ht="20.100000000000001" customHeight="1">
      <c r="B28" s="99" t="s">
        <v>308</v>
      </c>
      <c r="C28" s="101">
        <v>9.1962541265242876</v>
      </c>
      <c r="D28" s="109" t="s">
        <v>309</v>
      </c>
      <c r="E28" s="108">
        <v>893.5</v>
      </c>
      <c r="F28" s="131"/>
      <c r="G28" s="91"/>
      <c r="H28" s="131"/>
      <c r="I28" s="91"/>
      <c r="J28" s="39"/>
      <c r="K28" s="39"/>
      <c r="L28" s="39"/>
      <c r="M28" s="39"/>
      <c r="N28" s="39"/>
      <c r="O28" s="39"/>
      <c r="P28" s="39"/>
      <c r="Q28" s="39"/>
      <c r="R28" s="39"/>
      <c r="S28" s="67"/>
      <c r="T28" s="68"/>
      <c r="U28" s="73"/>
      <c r="V28" s="73"/>
      <c r="W28" s="73"/>
      <c r="X28" s="8"/>
      <c r="Y28" s="39"/>
      <c r="Z28" s="39"/>
      <c r="AA28" s="39"/>
      <c r="AB28" s="39"/>
      <c r="AC28" s="39"/>
      <c r="AD28" s="67"/>
      <c r="AE28" s="68"/>
      <c r="AF28" s="68"/>
      <c r="AG28" s="68"/>
      <c r="AH28" s="68"/>
      <c r="AI28" s="5"/>
      <c r="AJ28" s="5"/>
      <c r="AK28" s="13"/>
      <c r="AL28" s="5"/>
      <c r="AM28" s="5"/>
      <c r="AN28" s="5"/>
      <c r="AO28" s="5"/>
      <c r="AP28" s="31"/>
    </row>
    <row r="29" spans="2:42" ht="20.100000000000001" customHeight="1">
      <c r="B29" s="99" t="s">
        <v>303</v>
      </c>
      <c r="C29" s="101">
        <v>10.91423566664421</v>
      </c>
      <c r="D29" s="109" t="s">
        <v>48</v>
      </c>
      <c r="E29" s="108">
        <v>855.25</v>
      </c>
      <c r="F29" s="131"/>
      <c r="G29" s="91"/>
      <c r="H29" s="131"/>
      <c r="I29" s="91"/>
      <c r="J29" s="39"/>
      <c r="K29" s="39"/>
      <c r="L29" s="39"/>
      <c r="M29" s="39"/>
      <c r="N29" s="39"/>
      <c r="O29" s="39"/>
      <c r="P29" s="39"/>
      <c r="Q29" s="39"/>
      <c r="R29" s="39"/>
      <c r="S29" s="67"/>
      <c r="T29" s="68"/>
      <c r="U29" s="73"/>
      <c r="V29" s="73"/>
      <c r="W29" s="73"/>
      <c r="X29" s="8"/>
      <c r="Y29" s="39"/>
      <c r="Z29" s="39"/>
      <c r="AA29" s="39"/>
      <c r="AB29" s="39"/>
      <c r="AC29" s="39"/>
      <c r="AD29" s="67"/>
      <c r="AE29" s="68"/>
      <c r="AF29" s="68"/>
      <c r="AG29" s="68"/>
      <c r="AH29" s="68"/>
      <c r="AI29" s="5"/>
      <c r="AJ29" s="5"/>
      <c r="AK29" s="13"/>
      <c r="AL29" s="5"/>
      <c r="AM29" s="5"/>
      <c r="AN29" s="5"/>
      <c r="AO29" s="5"/>
      <c r="AP29" s="31"/>
    </row>
    <row r="30" spans="2:42" ht="20.100000000000001" customHeight="1">
      <c r="B30" s="99" t="s">
        <v>304</v>
      </c>
      <c r="C30" s="101">
        <v>16.593680522805364</v>
      </c>
      <c r="D30" s="109" t="s">
        <v>311</v>
      </c>
      <c r="E30" s="108">
        <v>381.75</v>
      </c>
      <c r="F30" s="131"/>
      <c r="G30" s="91"/>
      <c r="H30" s="131"/>
      <c r="I30" s="91"/>
      <c r="J30" s="39"/>
      <c r="K30" s="39"/>
      <c r="L30" s="39"/>
      <c r="M30" s="39"/>
      <c r="N30" s="39"/>
      <c r="O30" s="39"/>
      <c r="P30" s="39"/>
      <c r="Q30" s="39"/>
      <c r="R30" s="39"/>
      <c r="S30" s="67"/>
      <c r="T30" s="68"/>
      <c r="U30" s="73"/>
      <c r="V30" s="73"/>
      <c r="W30" s="73"/>
      <c r="X30" s="8"/>
      <c r="Y30" s="39"/>
      <c r="Z30" s="39"/>
      <c r="AA30" s="39"/>
      <c r="AB30" s="39"/>
      <c r="AC30" s="39"/>
      <c r="AD30" s="67"/>
      <c r="AE30" s="68"/>
      <c r="AF30" s="68"/>
      <c r="AG30" s="68"/>
      <c r="AH30" s="68"/>
      <c r="AI30" s="5"/>
      <c r="AJ30" s="5"/>
      <c r="AK30" s="13"/>
      <c r="AL30" s="5"/>
      <c r="AM30" s="5"/>
      <c r="AN30" s="5"/>
      <c r="AO30" s="5"/>
      <c r="AP30" s="31"/>
    </row>
    <row r="31" spans="2:42" ht="20.100000000000001" customHeight="1">
      <c r="B31" s="91"/>
      <c r="C31" s="91"/>
      <c r="D31" s="91"/>
      <c r="E31" s="91"/>
      <c r="F31" s="131"/>
      <c r="G31" s="91"/>
      <c r="H31" s="131"/>
      <c r="I31" s="91"/>
      <c r="J31" s="39"/>
      <c r="K31" s="39"/>
      <c r="L31" s="39"/>
      <c r="M31" s="39"/>
      <c r="N31" s="39"/>
      <c r="O31" s="39"/>
      <c r="P31" s="39"/>
      <c r="Q31" s="39"/>
      <c r="R31" s="39"/>
      <c r="S31" s="67"/>
      <c r="T31" s="68"/>
      <c r="U31" s="73"/>
      <c r="V31" s="73"/>
      <c r="W31" s="73"/>
      <c r="X31" s="8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P31" s="38"/>
    </row>
    <row r="32" spans="2:42" ht="20.100000000000001" customHeight="1">
      <c r="B32" s="91"/>
      <c r="C32" s="91"/>
      <c r="D32" s="107"/>
      <c r="E32" s="91"/>
      <c r="F32" s="131"/>
      <c r="G32" s="91"/>
      <c r="H32" s="131"/>
      <c r="I32" s="91"/>
      <c r="J32" s="39"/>
      <c r="K32" s="39"/>
      <c r="L32" s="39"/>
      <c r="M32" s="39"/>
      <c r="N32" s="39"/>
      <c r="O32" s="39"/>
      <c r="P32" s="39"/>
      <c r="Q32" s="39"/>
      <c r="R32" s="39"/>
      <c r="S32" s="67"/>
      <c r="T32" s="68"/>
      <c r="U32" s="73"/>
      <c r="V32" s="73"/>
      <c r="W32" s="73"/>
      <c r="X32" s="8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2:34" ht="20.100000000000001" customHeight="1">
      <c r="B33" s="91"/>
      <c r="C33" s="91"/>
      <c r="D33" s="107"/>
      <c r="E33" s="91"/>
      <c r="F33" s="131"/>
      <c r="G33" s="91"/>
      <c r="H33" s="131"/>
      <c r="I33" s="91"/>
      <c r="J33" s="39"/>
      <c r="K33" s="39"/>
      <c r="L33" s="39"/>
      <c r="M33" s="39"/>
      <c r="N33" s="39"/>
      <c r="O33" s="39"/>
      <c r="P33" s="39"/>
      <c r="Q33" s="39"/>
      <c r="R33" s="39"/>
      <c r="S33" s="67"/>
      <c r="T33" s="68"/>
      <c r="U33" s="73"/>
      <c r="V33" s="73"/>
      <c r="W33" s="73"/>
      <c r="X33" s="8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2:34" ht="20.100000000000001" customHeight="1">
      <c r="B34" s="91"/>
      <c r="C34" s="91"/>
      <c r="D34" s="107"/>
      <c r="E34" s="91"/>
      <c r="F34" s="131"/>
      <c r="G34" s="91"/>
      <c r="H34" s="131"/>
      <c r="I34" s="91"/>
      <c r="J34" s="39"/>
      <c r="K34" s="39"/>
      <c r="L34" s="39"/>
      <c r="M34" s="39"/>
      <c r="N34" s="39"/>
      <c r="O34" s="39"/>
      <c r="P34" s="39"/>
      <c r="Q34" s="39"/>
      <c r="R34" s="39"/>
      <c r="S34" s="67"/>
      <c r="T34" s="68"/>
      <c r="U34" s="73"/>
      <c r="V34" s="73"/>
      <c r="W34" s="73"/>
      <c r="X34" s="8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2:34" ht="20.100000000000001" customHeight="1">
      <c r="C35" s="39"/>
      <c r="D35" s="44"/>
      <c r="E35" s="39"/>
      <c r="F35" s="41"/>
      <c r="G35" s="39"/>
      <c r="H35" s="41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/>
      <c r="T35" s="68"/>
      <c r="U35" s="73"/>
      <c r="V35" s="73"/>
      <c r="W35" s="73"/>
      <c r="X35" s="8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2:34" ht="15.75" customHeight="1">
      <c r="C36" s="39"/>
      <c r="D36" s="44"/>
      <c r="E36" s="39"/>
      <c r="F36" s="41"/>
      <c r="G36" s="39"/>
      <c r="H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/>
      <c r="T36" s="68"/>
      <c r="U36" s="73"/>
      <c r="V36" s="73"/>
      <c r="W36" s="73"/>
      <c r="X36" s="8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5.75" customHeight="1">
      <c r="C37" s="39"/>
      <c r="D37" s="44"/>
      <c r="E37" s="39"/>
      <c r="F37" s="41"/>
      <c r="G37" s="39"/>
      <c r="H37" s="41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/>
      <c r="T37" s="68"/>
      <c r="U37" s="73"/>
      <c r="V37" s="73"/>
      <c r="W37" s="73"/>
      <c r="X37" s="8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2:34" ht="48" customHeight="1">
      <c r="B38" s="74" t="s">
        <v>315</v>
      </c>
      <c r="C38" s="39"/>
      <c r="D38" s="44"/>
      <c r="E38" s="39"/>
      <c r="F38" s="41"/>
      <c r="G38" s="39"/>
      <c r="H38" s="41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/>
      <c r="T38" s="68"/>
      <c r="U38" s="73"/>
      <c r="V38" s="73"/>
      <c r="W38" s="73"/>
      <c r="X38" s="8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2:34" ht="20.100000000000001" customHeight="1">
      <c r="B39" s="75" t="s">
        <v>55</v>
      </c>
      <c r="C39" s="39"/>
      <c r="D39" s="44"/>
      <c r="E39" s="39"/>
      <c r="F39" s="41"/>
      <c r="G39" s="39"/>
      <c r="H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2:34" ht="20.100000000000001" customHeight="1">
      <c r="C40" s="39"/>
      <c r="D40" s="44"/>
      <c r="E40" s="39"/>
      <c r="F40" s="41"/>
      <c r="G40" s="39"/>
      <c r="H40" s="41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2:34" ht="20.100000000000001" customHeight="1">
      <c r="C41" s="39"/>
      <c r="D41" s="44"/>
      <c r="E41" s="39"/>
      <c r="F41" s="41"/>
      <c r="G41" s="39"/>
      <c r="H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ht="20.100000000000001" customHeight="1">
      <c r="B42" s="39"/>
      <c r="C42" s="39"/>
      <c r="D42" s="44"/>
      <c r="E42" s="39"/>
      <c r="F42" s="41"/>
      <c r="G42" s="39"/>
      <c r="H42" s="41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ht="20.100000000000001" customHeight="1">
      <c r="B43" s="39"/>
      <c r="C43" s="39"/>
      <c r="D43" s="44"/>
      <c r="E43" s="39"/>
      <c r="F43" s="41"/>
      <c r="G43" s="39"/>
      <c r="H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20.100000000000001" customHeight="1">
      <c r="B44" s="39"/>
      <c r="C44" s="39"/>
      <c r="D44" s="44"/>
      <c r="E44" s="39"/>
      <c r="F44" s="41"/>
      <c r="G44" s="39"/>
      <c r="H44" s="41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2:34" ht="20.100000000000001" customHeight="1">
      <c r="B45" s="39"/>
      <c r="C45" s="39"/>
      <c r="D45" s="44"/>
      <c r="E45" s="39"/>
      <c r="F45" s="41"/>
      <c r="G45" s="39"/>
      <c r="H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  <row r="46" spans="2:34" ht="20.100000000000001" customHeight="1">
      <c r="B46" s="71"/>
      <c r="C46" s="71"/>
      <c r="D46" s="45"/>
      <c r="E46" s="71"/>
      <c r="F46" s="41"/>
      <c r="G46" s="39"/>
      <c r="H46" s="41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spans="2:34" ht="20.100000000000001" customHeight="1">
      <c r="B47" s="39"/>
      <c r="C47" s="39"/>
      <c r="D47" s="44"/>
      <c r="E47" s="39"/>
      <c r="F47" s="41"/>
      <c r="G47" s="39"/>
      <c r="H47" s="41"/>
      <c r="I47" s="39"/>
    </row>
    <row r="48" spans="2:34" ht="20.100000000000001" customHeight="1">
      <c r="B48" s="56"/>
      <c r="C48" s="56"/>
      <c r="D48" s="46"/>
      <c r="E48" s="56"/>
    </row>
  </sheetData>
  <sortState xmlns:xlrd2="http://schemas.microsoft.com/office/spreadsheetml/2017/richdata2" ref="B21:C30">
    <sortCondition ref="C21"/>
  </sortState>
  <mergeCells count="3">
    <mergeCell ref="O17:Q17"/>
    <mergeCell ref="O19:Q19"/>
    <mergeCell ref="O22:Q22"/>
  </mergeCells>
  <conditionalFormatting sqref="J6:M1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39" r:id="rId1" xr:uid="{00000000-0004-0000-04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0"/>
  <sheetViews>
    <sheetView workbookViewId="0">
      <selection activeCell="J4" sqref="J4"/>
    </sheetView>
  </sheetViews>
  <sheetFormatPr defaultColWidth="5.5703125" defaultRowHeight="14.25"/>
  <cols>
    <col min="1" max="1" width="68.85546875" style="43" customWidth="1"/>
    <col min="2" max="5" width="14.7109375" style="5" customWidth="1"/>
    <col min="6" max="6" width="8.28515625" style="5" customWidth="1"/>
    <col min="7" max="7" width="9.42578125" style="13" customWidth="1"/>
    <col min="8" max="8" width="10.42578125" style="5" customWidth="1"/>
    <col min="9" max="9" width="7.85546875" style="5" customWidth="1"/>
    <col min="10" max="10" width="7.140625" style="5" bestFit="1" customWidth="1"/>
    <col min="11" max="11" width="13.28515625" style="5" customWidth="1"/>
    <col min="12" max="230" width="9.140625" style="35" customWidth="1"/>
    <col min="231" max="231" width="58.28515625" style="35" customWidth="1"/>
    <col min="232" max="232" width="3.7109375" style="35" bestFit="1" customWidth="1"/>
    <col min="233" max="233" width="5.5703125" style="35" bestFit="1" customWidth="1"/>
    <col min="234" max="234" width="5.5703125" style="35" customWidth="1"/>
    <col min="235" max="16384" width="5.5703125" style="35"/>
  </cols>
  <sheetData>
    <row r="1" spans="1:21" customFormat="1" ht="15">
      <c r="A1" s="1" t="s">
        <v>0</v>
      </c>
      <c r="B1" s="76"/>
      <c r="C1" s="76"/>
      <c r="D1" s="76"/>
      <c r="E1" s="76"/>
      <c r="F1" s="76"/>
      <c r="G1" s="37"/>
      <c r="H1" s="76"/>
      <c r="I1" s="76"/>
      <c r="J1" s="76"/>
      <c r="K1" s="76"/>
    </row>
    <row r="2" spans="1:21" customFormat="1" ht="15">
      <c r="A2" s="18" t="s">
        <v>1</v>
      </c>
      <c r="B2" s="9"/>
      <c r="C2" s="9"/>
      <c r="D2" s="9"/>
      <c r="E2" s="9"/>
      <c r="F2" s="9"/>
      <c r="G2" s="19"/>
      <c r="H2" s="9"/>
      <c r="I2" s="9"/>
      <c r="J2" s="9"/>
      <c r="K2" s="9"/>
    </row>
    <row r="3" spans="1:21" customFormat="1" ht="15">
      <c r="A3" s="43"/>
      <c r="B3" s="5"/>
      <c r="C3" s="5"/>
      <c r="D3" s="5"/>
      <c r="E3" s="5"/>
      <c r="F3" s="5"/>
      <c r="G3" s="13"/>
      <c r="H3" s="5"/>
      <c r="I3" s="5"/>
      <c r="J3" s="5"/>
      <c r="K3" s="5"/>
    </row>
    <row r="4" spans="1:21" customFormat="1" ht="35.25" customHeight="1">
      <c r="A4" s="116" t="s">
        <v>302</v>
      </c>
      <c r="B4" s="125" t="s">
        <v>26</v>
      </c>
      <c r="C4" s="125" t="s">
        <v>27</v>
      </c>
      <c r="D4" s="125" t="s">
        <v>28</v>
      </c>
      <c r="E4" s="125" t="s">
        <v>29</v>
      </c>
      <c r="F4" s="125" t="s">
        <v>8</v>
      </c>
      <c r="G4" s="125" t="s">
        <v>9</v>
      </c>
      <c r="H4" s="116" t="s">
        <v>56</v>
      </c>
      <c r="K4" s="18"/>
      <c r="L4" s="11"/>
      <c r="M4" s="11"/>
      <c r="N4" s="11"/>
      <c r="O4" s="11"/>
      <c r="P4" s="35"/>
      <c r="Q4" s="35"/>
      <c r="R4" s="77"/>
      <c r="S4" s="77"/>
      <c r="T4" s="77"/>
      <c r="U4" s="11"/>
    </row>
    <row r="5" spans="1:21" customFormat="1" ht="15">
      <c r="A5" s="43" t="s">
        <v>311</v>
      </c>
      <c r="B5" s="22">
        <v>486</v>
      </c>
      <c r="C5" s="22">
        <v>365</v>
      </c>
      <c r="D5" s="22">
        <v>318</v>
      </c>
      <c r="E5" s="22">
        <v>358</v>
      </c>
      <c r="F5" s="21">
        <f>SUM(Unidades_2025[[#This Row],[1° trim 2025]:[4° trim 2025]])</f>
        <v>1527</v>
      </c>
      <c r="G5" s="21">
        <f>AVERAGE(Unidades_2025[[#This Row],[1° trim 2025]:[4° trim 2025]])</f>
        <v>381.75</v>
      </c>
      <c r="H5" s="159">
        <f>(Unidades_2025[[#This Row],[Total]]/Unidades_2025[[#Totals],[Total]])</f>
        <v>2.2603804307601214E-2</v>
      </c>
      <c r="K5" s="66"/>
      <c r="L5" s="78"/>
      <c r="M5" s="79"/>
      <c r="N5" s="79"/>
      <c r="O5" s="13"/>
      <c r="P5" s="35"/>
      <c r="Q5" s="35"/>
      <c r="R5" s="79"/>
      <c r="S5" s="79"/>
      <c r="T5" s="79"/>
      <c r="U5" s="78"/>
    </row>
    <row r="6" spans="1:21" customFormat="1" ht="15">
      <c r="A6" s="43" t="s">
        <v>316</v>
      </c>
      <c r="B6" s="22">
        <v>0</v>
      </c>
      <c r="C6" s="22">
        <v>0</v>
      </c>
      <c r="D6" s="22">
        <v>2</v>
      </c>
      <c r="E6" s="22">
        <v>5</v>
      </c>
      <c r="F6" s="21">
        <f>SUM(Unidades_2025[[#This Row],[1° trim 2025]:[4° trim 2025]])</f>
        <v>7</v>
      </c>
      <c r="G6" s="21">
        <f>AVERAGE(Unidades_2025[[#This Row],[1° trim 2025]:[4° trim 2025]])</f>
        <v>1.75</v>
      </c>
      <c r="H6" s="159">
        <f>(Unidades_2025[[#This Row],[Total]]/Unidades_2025[[#Totals],[Total]])</f>
        <v>1.0361927318481238E-4</v>
      </c>
      <c r="K6" s="66"/>
      <c r="L6" s="78"/>
      <c r="M6" s="79"/>
      <c r="N6" s="79"/>
      <c r="O6" s="13"/>
      <c r="P6" s="35"/>
      <c r="Q6" s="35"/>
      <c r="R6" s="79"/>
      <c r="S6" s="79"/>
      <c r="T6" s="79"/>
      <c r="U6" s="78"/>
    </row>
    <row r="7" spans="1:21" customFormat="1" ht="15">
      <c r="A7" s="43" t="s">
        <v>303</v>
      </c>
      <c r="B7" s="22">
        <v>1142</v>
      </c>
      <c r="C7" s="22">
        <v>1190</v>
      </c>
      <c r="D7" s="22">
        <v>2086</v>
      </c>
      <c r="E7" s="22">
        <v>1620</v>
      </c>
      <c r="F7" s="21">
        <f>SUM(Unidades_2025[[#This Row],[1° trim 2025]:[4° trim 2025]])</f>
        <v>6038</v>
      </c>
      <c r="G7" s="21">
        <f>AVERAGE(Unidades_2025[[#This Row],[1° trim 2025]:[4° trim 2025]])</f>
        <v>1509.5</v>
      </c>
      <c r="H7" s="159">
        <f>(Unidades_2025[[#This Row],[Total]]/Unidades_2025[[#Totals],[Total]])</f>
        <v>8.9379024498556725E-2</v>
      </c>
      <c r="K7" s="66"/>
      <c r="L7" s="78"/>
      <c r="M7" s="79"/>
      <c r="N7" s="79"/>
      <c r="O7" s="13"/>
      <c r="P7" s="35"/>
      <c r="Q7" s="35"/>
      <c r="R7" s="79"/>
      <c r="S7" s="79"/>
      <c r="T7" s="79"/>
      <c r="U7" s="78"/>
    </row>
    <row r="8" spans="1:21" customFormat="1" ht="15">
      <c r="A8" s="43" t="s">
        <v>317</v>
      </c>
      <c r="B8" s="22">
        <v>45</v>
      </c>
      <c r="C8" s="22">
        <v>56</v>
      </c>
      <c r="D8" s="22">
        <v>51</v>
      </c>
      <c r="E8" s="22">
        <v>22</v>
      </c>
      <c r="F8" s="21">
        <f>SUM(Unidades_2025[[#This Row],[1° trim 2025]:[4° trim 2025]])</f>
        <v>174</v>
      </c>
      <c r="G8" s="21">
        <f>AVERAGE(Unidades_2025[[#This Row],[1° trim 2025]:[4° trim 2025]])</f>
        <v>43.5</v>
      </c>
      <c r="H8" s="159">
        <f>(Unidades_2025[[#This Row],[Total]]/Unidades_2025[[#Totals],[Total]])</f>
        <v>2.5756790763081933E-3</v>
      </c>
      <c r="K8" s="66"/>
      <c r="L8" s="78"/>
      <c r="M8" s="79"/>
      <c r="N8" s="79"/>
      <c r="O8" s="13"/>
      <c r="P8" s="35"/>
      <c r="Q8" s="35"/>
      <c r="R8" s="79"/>
      <c r="S8" s="79"/>
      <c r="T8" s="79"/>
      <c r="U8" s="78"/>
    </row>
    <row r="9" spans="1:21" customFormat="1" ht="15">
      <c r="A9" s="43" t="s">
        <v>318</v>
      </c>
      <c r="B9" s="22">
        <v>172</v>
      </c>
      <c r="C9" s="22">
        <v>200</v>
      </c>
      <c r="D9" s="22">
        <v>145</v>
      </c>
      <c r="E9" s="22">
        <v>134</v>
      </c>
      <c r="F9" s="21">
        <f>SUM(Unidades_2025[[#This Row],[1° trim 2025]:[4° trim 2025]])</f>
        <v>651</v>
      </c>
      <c r="G9" s="21">
        <f>AVERAGE(Unidades_2025[[#This Row],[1° trim 2025]:[4° trim 2025]])</f>
        <v>162.75</v>
      </c>
      <c r="H9" s="159">
        <f>(Unidades_2025[[#This Row],[Total]]/Unidades_2025[[#Totals],[Total]])</f>
        <v>9.6365924061875517E-3</v>
      </c>
      <c r="K9" s="66"/>
      <c r="L9" s="78"/>
      <c r="M9" s="79"/>
      <c r="N9" s="79"/>
      <c r="O9" s="13"/>
      <c r="P9" s="35"/>
      <c r="Q9" s="35"/>
      <c r="R9" s="79"/>
      <c r="S9" s="79"/>
      <c r="T9" s="79"/>
      <c r="U9" s="78"/>
    </row>
    <row r="10" spans="1:21" customFormat="1" ht="15">
      <c r="A10" s="43" t="s">
        <v>227</v>
      </c>
      <c r="B10" s="22">
        <v>17</v>
      </c>
      <c r="C10" s="22">
        <v>5</v>
      </c>
      <c r="D10" s="22">
        <v>6</v>
      </c>
      <c r="E10" s="22">
        <v>7</v>
      </c>
      <c r="F10" s="21">
        <f>SUM(Unidades_2025[[#This Row],[1° trim 2025]:[4° trim 2025]])</f>
        <v>35</v>
      </c>
      <c r="G10" s="21">
        <f>AVERAGE(Unidades_2025[[#This Row],[1° trim 2025]:[4° trim 2025]])</f>
        <v>8.75</v>
      </c>
      <c r="H10" s="159">
        <f>(Unidades_2025[[#This Row],[Total]]/Unidades_2025[[#Totals],[Total]])</f>
        <v>5.1809636592406189E-4</v>
      </c>
      <c r="K10" s="66"/>
      <c r="L10" s="78"/>
      <c r="M10" s="79"/>
      <c r="N10" s="79"/>
      <c r="O10" s="13"/>
      <c r="P10" s="35"/>
      <c r="Q10" s="35"/>
      <c r="R10" s="79"/>
      <c r="S10" s="79"/>
      <c r="T10" s="79"/>
      <c r="U10" s="78"/>
    </row>
    <row r="11" spans="1:21" customFormat="1" ht="15">
      <c r="A11" s="43" t="s">
        <v>48</v>
      </c>
      <c r="B11" s="22">
        <v>1103</v>
      </c>
      <c r="C11" s="22">
        <v>1201</v>
      </c>
      <c r="D11" s="22">
        <v>629</v>
      </c>
      <c r="E11" s="22">
        <v>488</v>
      </c>
      <c r="F11" s="21">
        <f>SUM(Unidades_2025[[#This Row],[1° trim 2025]:[4° trim 2025]])</f>
        <v>3421</v>
      </c>
      <c r="G11" s="21">
        <f>AVERAGE(Unidades_2025[[#This Row],[1° trim 2025]:[4° trim 2025]])</f>
        <v>855.25</v>
      </c>
      <c r="H11" s="159">
        <f>(Unidades_2025[[#This Row],[Total]]/Unidades_2025[[#Totals],[Total]])</f>
        <v>5.0640219080749019E-2</v>
      </c>
      <c r="K11" s="66"/>
      <c r="L11" s="78"/>
      <c r="M11" s="79"/>
      <c r="N11" s="79"/>
      <c r="O11" s="13"/>
      <c r="P11" s="35"/>
      <c r="Q11" s="35"/>
      <c r="R11" s="79"/>
      <c r="S11" s="79"/>
      <c r="T11" s="79"/>
      <c r="U11" s="78"/>
    </row>
    <row r="12" spans="1:21" customFormat="1" ht="15">
      <c r="A12" s="43" t="s">
        <v>319</v>
      </c>
      <c r="B12" s="22">
        <v>185</v>
      </c>
      <c r="C12" s="22">
        <v>199</v>
      </c>
      <c r="D12" s="22">
        <v>227</v>
      </c>
      <c r="E12" s="22">
        <v>165</v>
      </c>
      <c r="F12" s="21">
        <f>SUM(Unidades_2025[[#This Row],[1° trim 2025]:[4° trim 2025]])</f>
        <v>776</v>
      </c>
      <c r="G12" s="21">
        <f>AVERAGE(Unidades_2025[[#This Row],[1° trim 2025]:[4° trim 2025]])</f>
        <v>194</v>
      </c>
      <c r="H12" s="159">
        <f>(Unidades_2025[[#This Row],[Total]]/Unidades_2025[[#Totals],[Total]])</f>
        <v>1.1486936570202057E-2</v>
      </c>
      <c r="K12" s="66"/>
      <c r="L12" s="79"/>
      <c r="M12" s="79"/>
      <c r="N12" s="79"/>
      <c r="O12" s="13"/>
      <c r="P12" s="35"/>
      <c r="Q12" s="35"/>
      <c r="R12" s="79"/>
      <c r="S12" s="79"/>
      <c r="T12" s="79"/>
      <c r="U12" s="78"/>
    </row>
    <row r="13" spans="1:21" customFormat="1" ht="15">
      <c r="A13" s="43" t="s">
        <v>320</v>
      </c>
      <c r="B13" s="22">
        <v>0</v>
      </c>
      <c r="C13" s="22">
        <v>0</v>
      </c>
      <c r="D13" s="22">
        <v>0</v>
      </c>
      <c r="E13" s="22">
        <v>0</v>
      </c>
      <c r="F13" s="21">
        <f>SUM(Unidades_2025[[#This Row],[1° trim 2025]:[4° trim 2025]])</f>
        <v>0</v>
      </c>
      <c r="G13" s="21">
        <f>AVERAGE(Unidades_2025[[#This Row],[1° trim 2025]:[4° trim 2025]])</f>
        <v>0</v>
      </c>
      <c r="H13" s="159">
        <f>(Unidades_2025[[#This Row],[Total]]/Unidades_2025[[#Totals],[Total]])</f>
        <v>0</v>
      </c>
      <c r="K13" s="66"/>
      <c r="L13" s="79"/>
      <c r="M13" s="79"/>
      <c r="N13" s="79"/>
      <c r="O13" s="13"/>
      <c r="P13" s="35"/>
      <c r="Q13" s="35"/>
      <c r="R13" s="79"/>
      <c r="S13" s="79"/>
      <c r="T13" s="79"/>
      <c r="U13" s="78"/>
    </row>
    <row r="14" spans="1:21" customFormat="1" ht="15">
      <c r="A14" s="43" t="s">
        <v>307</v>
      </c>
      <c r="B14" s="22">
        <v>1216</v>
      </c>
      <c r="C14" s="22">
        <v>1142</v>
      </c>
      <c r="D14" s="22">
        <v>1003</v>
      </c>
      <c r="E14" s="22">
        <v>892</v>
      </c>
      <c r="F14" s="21">
        <f>SUM(Unidades_2025[[#This Row],[1° trim 2025]:[4° trim 2025]])</f>
        <v>4253</v>
      </c>
      <c r="G14" s="21">
        <f>AVERAGE(Unidades_2025[[#This Row],[1° trim 2025]:[4° trim 2025]])</f>
        <v>1063.25</v>
      </c>
      <c r="H14" s="159">
        <f>(Unidades_2025[[#This Row],[Total]]/Unidades_2025[[#Totals],[Total]])</f>
        <v>6.2956109836429575E-2</v>
      </c>
      <c r="K14" s="66"/>
      <c r="L14" s="79"/>
      <c r="M14" s="79"/>
      <c r="N14" s="79"/>
      <c r="O14" s="13"/>
      <c r="P14" s="35"/>
      <c r="Q14" s="35"/>
      <c r="R14" s="79"/>
      <c r="S14" s="79"/>
      <c r="T14" s="79"/>
      <c r="U14" s="78"/>
    </row>
    <row r="15" spans="1:21" customFormat="1" ht="15">
      <c r="A15" s="43" t="s">
        <v>321</v>
      </c>
      <c r="B15" s="22">
        <v>0</v>
      </c>
      <c r="C15" s="22">
        <v>0</v>
      </c>
      <c r="D15" s="22">
        <v>0</v>
      </c>
      <c r="E15" s="22">
        <v>0</v>
      </c>
      <c r="F15" s="21">
        <f>SUM(Unidades_2025[[#This Row],[1° trim 2025]:[4° trim 2025]])</f>
        <v>0</v>
      </c>
      <c r="G15" s="21">
        <f>AVERAGE(Unidades_2025[[#This Row],[1° trim 2025]:[4° trim 2025]])</f>
        <v>0</v>
      </c>
      <c r="H15" s="159">
        <f>(Unidades_2025[[#This Row],[Total]]/Unidades_2025[[#Totals],[Total]])</f>
        <v>0</v>
      </c>
      <c r="K15" s="66"/>
      <c r="L15" s="78"/>
      <c r="M15" s="79"/>
      <c r="N15" s="79"/>
      <c r="O15" s="13"/>
      <c r="P15" s="35"/>
      <c r="Q15" s="35"/>
      <c r="R15" s="79"/>
      <c r="S15" s="79"/>
      <c r="T15" s="79"/>
      <c r="U15" s="78"/>
    </row>
    <row r="16" spans="1:21" customFormat="1" ht="15">
      <c r="A16" s="43" t="s">
        <v>322</v>
      </c>
      <c r="B16" s="22">
        <v>0</v>
      </c>
      <c r="C16" s="22">
        <v>0</v>
      </c>
      <c r="D16" s="22">
        <v>0</v>
      </c>
      <c r="E16" s="22">
        <v>0</v>
      </c>
      <c r="F16" s="21">
        <f>SUM(Unidades_2025[[#This Row],[1° trim 2025]:[4° trim 2025]])</f>
        <v>0</v>
      </c>
      <c r="G16" s="21">
        <f>AVERAGE(Unidades_2025[[#This Row],[1° trim 2025]:[4° trim 2025]])</f>
        <v>0</v>
      </c>
      <c r="H16" s="159">
        <f>(Unidades_2025[[#This Row],[Total]]/Unidades_2025[[#Totals],[Total]])</f>
        <v>0</v>
      </c>
      <c r="K16" s="66"/>
      <c r="L16" s="79"/>
      <c r="M16" s="79"/>
      <c r="N16" s="79"/>
      <c r="O16" s="13"/>
      <c r="P16" s="35"/>
      <c r="Q16" s="35"/>
      <c r="R16" s="79"/>
      <c r="S16" s="79"/>
      <c r="T16" s="79"/>
      <c r="U16" s="78"/>
    </row>
    <row r="17" spans="1:21" customFormat="1" ht="15" customHeight="1">
      <c r="A17" s="43" t="s">
        <v>323</v>
      </c>
      <c r="B17" s="22">
        <v>56</v>
      </c>
      <c r="C17" s="22">
        <v>39</v>
      </c>
      <c r="D17" s="22">
        <v>25</v>
      </c>
      <c r="E17" s="22">
        <v>17</v>
      </c>
      <c r="F17" s="21">
        <f>SUM(Unidades_2025[[#This Row],[1° trim 2025]:[4° trim 2025]])</f>
        <v>137</v>
      </c>
      <c r="G17" s="21">
        <f>AVERAGE(Unidades_2025[[#This Row],[1° trim 2025]:[4° trim 2025]])</f>
        <v>34.25</v>
      </c>
      <c r="H17" s="159">
        <f>(Unidades_2025[[#This Row],[Total]]/Unidades_2025[[#Totals],[Total]])</f>
        <v>2.0279772037598994E-3</v>
      </c>
      <c r="K17" s="66"/>
      <c r="L17" s="79"/>
      <c r="M17" s="79"/>
      <c r="N17" s="79"/>
      <c r="O17" s="13"/>
      <c r="P17" s="35"/>
      <c r="Q17" s="35"/>
      <c r="R17" s="79"/>
      <c r="S17" s="79"/>
      <c r="T17" s="79"/>
      <c r="U17" s="78"/>
    </row>
    <row r="18" spans="1:21" customFormat="1" ht="15">
      <c r="A18" s="43" t="s">
        <v>308</v>
      </c>
      <c r="B18" s="22">
        <v>1810</v>
      </c>
      <c r="C18" s="22">
        <v>1192</v>
      </c>
      <c r="D18" s="22">
        <v>966</v>
      </c>
      <c r="E18" s="22">
        <v>1365</v>
      </c>
      <c r="F18" s="21">
        <f>SUM(Unidades_2025[[#This Row],[1° trim 2025]:[4° trim 2025]])</f>
        <v>5333</v>
      </c>
      <c r="G18" s="21">
        <f>AVERAGE(Unidades_2025[[#This Row],[1° trim 2025]:[4° trim 2025]])</f>
        <v>1333.25</v>
      </c>
      <c r="H18" s="159">
        <f>(Unidades_2025[[#This Row],[Total]]/Unidades_2025[[#Totals],[Total]])</f>
        <v>7.8943083413514914E-2</v>
      </c>
      <c r="K18" s="66"/>
      <c r="L18" s="79"/>
      <c r="M18" s="79"/>
      <c r="N18" s="79"/>
      <c r="O18" s="13"/>
      <c r="P18" s="35"/>
      <c r="Q18" s="35"/>
      <c r="R18" s="79"/>
      <c r="S18" s="79"/>
      <c r="T18" s="79"/>
      <c r="U18" s="78"/>
    </row>
    <row r="19" spans="1:21" customFormat="1" ht="15">
      <c r="A19" s="43" t="s">
        <v>309</v>
      </c>
      <c r="B19" s="22">
        <v>1020</v>
      </c>
      <c r="C19" s="22">
        <v>907</v>
      </c>
      <c r="D19" s="22">
        <v>900</v>
      </c>
      <c r="E19" s="22">
        <v>747</v>
      </c>
      <c r="F19" s="21">
        <f>SUM(Unidades_2025[[#This Row],[1° trim 2025]:[4° trim 2025]])</f>
        <v>3574</v>
      </c>
      <c r="G19" s="21">
        <f>AVERAGE(Unidades_2025[[#This Row],[1° trim 2025]:[4° trim 2025]])</f>
        <v>893.5</v>
      </c>
      <c r="H19" s="159">
        <f>(Unidades_2025[[#This Row],[Total]]/Unidades_2025[[#Totals],[Total]])</f>
        <v>5.2905040337502776E-2</v>
      </c>
      <c r="K19" s="66"/>
      <c r="L19" s="79"/>
      <c r="M19" s="79"/>
      <c r="N19" s="79"/>
      <c r="O19" s="13"/>
      <c r="P19" s="35"/>
      <c r="Q19" s="35"/>
      <c r="R19" s="79"/>
      <c r="S19" s="79"/>
      <c r="T19" s="79"/>
      <c r="U19" s="78"/>
    </row>
    <row r="20" spans="1:21" customFormat="1" ht="15">
      <c r="A20" s="43" t="s">
        <v>324</v>
      </c>
      <c r="B20" s="22">
        <v>6</v>
      </c>
      <c r="C20" s="22">
        <v>11</v>
      </c>
      <c r="D20" s="22">
        <v>14</v>
      </c>
      <c r="E20" s="22">
        <v>10</v>
      </c>
      <c r="F20" s="21">
        <f>SUM(Unidades_2025[[#This Row],[1° trim 2025]:[4° trim 2025]])</f>
        <v>41</v>
      </c>
      <c r="G20" s="21">
        <f>AVERAGE(Unidades_2025[[#This Row],[1° trim 2025]:[4° trim 2025]])</f>
        <v>10.25</v>
      </c>
      <c r="H20" s="159">
        <f>(Unidades_2025[[#This Row],[Total]]/Unidades_2025[[#Totals],[Total]])</f>
        <v>6.0691288579675824E-4</v>
      </c>
      <c r="K20" s="66"/>
      <c r="L20" s="79"/>
      <c r="M20" s="79"/>
      <c r="N20" s="79"/>
      <c r="O20" s="13"/>
      <c r="P20" s="35"/>
      <c r="Q20" s="35"/>
      <c r="R20" s="79"/>
      <c r="S20" s="79"/>
      <c r="T20" s="79"/>
      <c r="U20" s="78"/>
    </row>
    <row r="21" spans="1:21" customFormat="1" ht="15">
      <c r="A21" s="43" t="s">
        <v>304</v>
      </c>
      <c r="B21" s="22">
        <v>1989</v>
      </c>
      <c r="C21" s="22">
        <v>2013</v>
      </c>
      <c r="D21" s="22">
        <v>1909</v>
      </c>
      <c r="E21" s="22">
        <v>2463</v>
      </c>
      <c r="F21" s="21">
        <f>SUM(Unidades_2025[[#This Row],[1° trim 2025]:[4° trim 2025]])</f>
        <v>8374</v>
      </c>
      <c r="G21" s="21">
        <f>AVERAGE(Unidades_2025[[#This Row],[1° trim 2025]:[4° trim 2025]])</f>
        <v>2093.5</v>
      </c>
      <c r="H21" s="159">
        <f>(Unidades_2025[[#This Row],[Total]]/Unidades_2025[[#Totals],[Total]])</f>
        <v>0.12395825623565983</v>
      </c>
      <c r="K21" s="66"/>
      <c r="L21" s="79"/>
      <c r="M21" s="79"/>
      <c r="N21" s="79"/>
      <c r="O21" s="13"/>
      <c r="P21" s="35"/>
      <c r="Q21" s="35"/>
      <c r="R21" s="79"/>
      <c r="S21" s="79"/>
      <c r="T21" s="79"/>
      <c r="U21" s="78"/>
    </row>
    <row r="22" spans="1:21" customFormat="1" ht="15">
      <c r="A22" s="43" t="s">
        <v>305</v>
      </c>
      <c r="B22" s="22">
        <v>1771</v>
      </c>
      <c r="C22" s="22">
        <v>1601</v>
      </c>
      <c r="D22" s="22">
        <v>1232</v>
      </c>
      <c r="E22" s="22">
        <v>1047</v>
      </c>
      <c r="F22" s="21">
        <f>SUM(Unidades_2025[[#This Row],[1° trim 2025]:[4° trim 2025]])</f>
        <v>5651</v>
      </c>
      <c r="G22" s="21">
        <f>AVERAGE(Unidades_2025[[#This Row],[1° trim 2025]:[4° trim 2025]])</f>
        <v>1412.75</v>
      </c>
      <c r="H22" s="159">
        <f>(Unidades_2025[[#This Row],[Total]]/Unidades_2025[[#Totals],[Total]])</f>
        <v>8.3650358966767813E-2</v>
      </c>
      <c r="K22" s="66"/>
      <c r="L22" s="79"/>
      <c r="M22" s="79"/>
      <c r="N22" s="79"/>
      <c r="O22" s="13"/>
      <c r="P22" s="35"/>
      <c r="Q22" s="35"/>
      <c r="R22" s="79"/>
      <c r="S22" s="79"/>
      <c r="T22" s="79"/>
      <c r="U22" s="78"/>
    </row>
    <row r="23" spans="1:21" customFormat="1" ht="15">
      <c r="A23" s="43" t="s">
        <v>306</v>
      </c>
      <c r="B23" s="22">
        <v>1040</v>
      </c>
      <c r="C23" s="22">
        <v>825</v>
      </c>
      <c r="D23" s="22">
        <v>1117</v>
      </c>
      <c r="E23" s="22">
        <v>731</v>
      </c>
      <c r="F23" s="21">
        <f>SUM(Unidades_2025[[#This Row],[1° trim 2025]:[4° trim 2025]])</f>
        <v>3713</v>
      </c>
      <c r="G23" s="21">
        <f>AVERAGE(Unidades_2025[[#This Row],[1° trim 2025]:[4° trim 2025]])</f>
        <v>928.25</v>
      </c>
      <c r="H23" s="159">
        <f>(Unidades_2025[[#This Row],[Total]]/Unidades_2025[[#Totals],[Total]])</f>
        <v>5.4962623047886905E-2</v>
      </c>
      <c r="K23" s="66"/>
      <c r="L23" s="79"/>
      <c r="M23" s="79"/>
      <c r="N23" s="79"/>
      <c r="O23" s="13"/>
      <c r="P23" s="35"/>
      <c r="Q23" s="35"/>
      <c r="R23" s="79"/>
      <c r="S23" s="79"/>
      <c r="T23" s="79"/>
      <c r="U23" s="78"/>
    </row>
    <row r="24" spans="1:21" customFormat="1" ht="15">
      <c r="A24" s="43" t="s">
        <v>325</v>
      </c>
      <c r="B24" s="22">
        <v>63</v>
      </c>
      <c r="C24" s="22">
        <v>51</v>
      </c>
      <c r="D24" s="22">
        <v>33</v>
      </c>
      <c r="E24" s="22">
        <v>52</v>
      </c>
      <c r="F24" s="21">
        <f>SUM(Unidades_2025[[#This Row],[1° trim 2025]:[4° trim 2025]])</f>
        <v>199</v>
      </c>
      <c r="G24" s="21">
        <f>AVERAGE(Unidades_2025[[#This Row],[1° trim 2025]:[4° trim 2025]])</f>
        <v>49.75</v>
      </c>
      <c r="H24" s="159">
        <f>(Unidades_2025[[#This Row],[Total]]/Unidades_2025[[#Totals],[Total]])</f>
        <v>2.9457479091110949E-3</v>
      </c>
      <c r="K24" s="66"/>
      <c r="L24" s="79"/>
      <c r="M24" s="79"/>
      <c r="N24" s="79"/>
      <c r="O24" s="13"/>
      <c r="P24" s="35"/>
      <c r="Q24" s="35"/>
      <c r="R24" s="79"/>
      <c r="S24" s="79"/>
      <c r="T24" s="79"/>
      <c r="U24" s="78"/>
    </row>
    <row r="25" spans="1:21" customFormat="1" ht="15">
      <c r="A25" s="43" t="s">
        <v>326</v>
      </c>
      <c r="B25" s="22">
        <v>76</v>
      </c>
      <c r="C25" s="22">
        <v>80</v>
      </c>
      <c r="D25" s="22">
        <v>60</v>
      </c>
      <c r="E25" s="22">
        <v>56</v>
      </c>
      <c r="F25" s="21">
        <f>SUM(Unidades_2025[[#This Row],[1° trim 2025]:[4° trim 2025]])</f>
        <v>272</v>
      </c>
      <c r="G25" s="21">
        <f>AVERAGE(Unidades_2025[[#This Row],[1° trim 2025]:[4° trim 2025]])</f>
        <v>68</v>
      </c>
      <c r="H25" s="159">
        <f>(Unidades_2025[[#This Row],[Total]]/Unidades_2025[[#Totals],[Total]])</f>
        <v>4.0263489008955664E-3</v>
      </c>
      <c r="K25" s="66"/>
      <c r="L25" s="79"/>
      <c r="M25" s="79"/>
      <c r="N25" s="79"/>
      <c r="O25" s="13"/>
      <c r="P25" s="35"/>
      <c r="Q25" s="35"/>
      <c r="R25" s="79"/>
      <c r="S25" s="79"/>
      <c r="T25" s="79"/>
      <c r="U25" s="78"/>
    </row>
    <row r="26" spans="1:21" customFormat="1" ht="15">
      <c r="A26" s="43" t="s">
        <v>327</v>
      </c>
      <c r="B26" s="22">
        <v>129</v>
      </c>
      <c r="C26" s="22">
        <v>165</v>
      </c>
      <c r="D26" s="22">
        <v>165</v>
      </c>
      <c r="E26" s="22">
        <v>119</v>
      </c>
      <c r="F26" s="21">
        <f>SUM(Unidades_2025[[#This Row],[1° trim 2025]:[4° trim 2025]])</f>
        <v>578</v>
      </c>
      <c r="G26" s="21">
        <f>AVERAGE(Unidades_2025[[#This Row],[1° trim 2025]:[4° trim 2025]])</f>
        <v>144.5</v>
      </c>
      <c r="H26" s="159">
        <f>(Unidades_2025[[#This Row],[Total]]/Unidades_2025[[#Totals],[Total]])</f>
        <v>8.5559914144030785E-3</v>
      </c>
      <c r="K26" s="66"/>
      <c r="L26" s="78"/>
      <c r="M26" s="79"/>
      <c r="N26" s="79"/>
      <c r="O26" s="13"/>
      <c r="P26" s="35"/>
      <c r="Q26" s="35"/>
      <c r="R26" s="79"/>
      <c r="S26" s="79"/>
      <c r="T26" s="79"/>
      <c r="U26" s="78"/>
    </row>
    <row r="27" spans="1:21" customFormat="1" ht="15">
      <c r="A27" s="43" t="s">
        <v>310</v>
      </c>
      <c r="B27" s="22">
        <v>1525</v>
      </c>
      <c r="C27" s="22">
        <v>967</v>
      </c>
      <c r="D27" s="22">
        <v>789</v>
      </c>
      <c r="E27" s="22">
        <v>488</v>
      </c>
      <c r="F27" s="21">
        <f>SUM(Unidades_2025[[#This Row],[1° trim 2025]:[4° trim 2025]])</f>
        <v>3769</v>
      </c>
      <c r="G27" s="21">
        <f>AVERAGE(Unidades_2025[[#This Row],[1° trim 2025]:[4° trim 2025]])</f>
        <v>942.25</v>
      </c>
      <c r="H27" s="159">
        <f>(Unidades_2025[[#This Row],[Total]]/Unidades_2025[[#Totals],[Total]])</f>
        <v>5.5791577233365405E-2</v>
      </c>
      <c r="K27" s="66"/>
      <c r="L27" s="79"/>
      <c r="M27" s="79"/>
      <c r="N27" s="79"/>
      <c r="O27" s="13"/>
      <c r="P27" s="35"/>
      <c r="Q27" s="35"/>
      <c r="R27" s="79"/>
      <c r="S27" s="79"/>
      <c r="T27" s="79"/>
      <c r="U27" s="78"/>
    </row>
    <row r="28" spans="1:21" customFormat="1" ht="15">
      <c r="A28" s="43" t="s">
        <v>328</v>
      </c>
      <c r="B28" s="22">
        <v>141</v>
      </c>
      <c r="C28" s="22">
        <v>82</v>
      </c>
      <c r="D28" s="22">
        <v>59</v>
      </c>
      <c r="E28" s="22">
        <v>93</v>
      </c>
      <c r="F28" s="21">
        <f>SUM(Unidades_2025[[#This Row],[1° trim 2025]:[4° trim 2025]])</f>
        <v>375</v>
      </c>
      <c r="G28" s="21">
        <f>AVERAGE(Unidades_2025[[#This Row],[1° trim 2025]:[4° trim 2025]])</f>
        <v>93.75</v>
      </c>
      <c r="H28" s="159">
        <f>(Unidades_2025[[#This Row],[Total]]/Unidades_2025[[#Totals],[Total]])</f>
        <v>5.5510324920435205E-3</v>
      </c>
      <c r="K28" s="66"/>
      <c r="L28" s="79"/>
      <c r="M28" s="79"/>
      <c r="N28" s="79"/>
      <c r="O28" s="13"/>
      <c r="P28" s="35"/>
      <c r="Q28" s="35"/>
      <c r="R28" s="79"/>
      <c r="S28" s="79"/>
      <c r="T28" s="79"/>
      <c r="U28" s="78"/>
    </row>
    <row r="29" spans="1:21" customFormat="1" ht="15">
      <c r="A29" s="43" t="s">
        <v>329</v>
      </c>
      <c r="B29" s="22">
        <v>67</v>
      </c>
      <c r="C29" s="22">
        <v>112</v>
      </c>
      <c r="D29" s="22">
        <v>90</v>
      </c>
      <c r="E29" s="22">
        <v>40</v>
      </c>
      <c r="F29" s="21">
        <f>SUM(Unidades_2025[[#This Row],[1° trim 2025]:[4° trim 2025]])</f>
        <v>309</v>
      </c>
      <c r="G29" s="21">
        <f>AVERAGE(Unidades_2025[[#This Row],[1° trim 2025]:[4° trim 2025]])</f>
        <v>77.25</v>
      </c>
      <c r="H29" s="159">
        <f>(Unidades_2025[[#This Row],[Total]]/Unidades_2025[[#Totals],[Total]])</f>
        <v>4.5740507734438607E-3</v>
      </c>
      <c r="K29" s="66"/>
      <c r="L29" s="79"/>
      <c r="M29" s="79"/>
      <c r="N29" s="79"/>
      <c r="O29" s="13"/>
      <c r="P29" s="35"/>
      <c r="Q29" s="35"/>
      <c r="R29" s="79"/>
      <c r="S29" s="79"/>
      <c r="T29" s="79"/>
      <c r="U29" s="78"/>
    </row>
    <row r="30" spans="1:21" customFormat="1" ht="15">
      <c r="A30" s="43" t="s">
        <v>330</v>
      </c>
      <c r="B30" s="22">
        <v>39</v>
      </c>
      <c r="C30" s="22">
        <v>36</v>
      </c>
      <c r="D30" s="22">
        <v>50</v>
      </c>
      <c r="E30" s="22">
        <v>40</v>
      </c>
      <c r="F30" s="21">
        <f>SUM(Unidades_2025[[#This Row],[1° trim 2025]:[4° trim 2025]])</f>
        <v>165</v>
      </c>
      <c r="G30" s="21">
        <f>AVERAGE(Unidades_2025[[#This Row],[1° trim 2025]:[4° trim 2025]])</f>
        <v>41.25</v>
      </c>
      <c r="H30" s="159">
        <f>(Unidades_2025[[#This Row],[Total]]/Unidades_2025[[#Totals],[Total]])</f>
        <v>2.4424542964991487E-3</v>
      </c>
      <c r="K30" s="66"/>
      <c r="L30" s="79"/>
      <c r="M30" s="79"/>
      <c r="N30" s="79"/>
      <c r="O30" s="13"/>
      <c r="P30" s="35"/>
      <c r="Q30" s="35"/>
      <c r="R30" s="79"/>
      <c r="S30" s="79"/>
      <c r="T30" s="79"/>
      <c r="U30" s="78"/>
    </row>
    <row r="31" spans="1:21" customFormat="1" ht="15">
      <c r="A31" s="43" t="s">
        <v>331</v>
      </c>
      <c r="B31" s="22">
        <v>94</v>
      </c>
      <c r="C31" s="22">
        <v>64</v>
      </c>
      <c r="D31" s="22">
        <v>75</v>
      </c>
      <c r="E31" s="22">
        <v>60</v>
      </c>
      <c r="F31" s="21">
        <f>SUM(Unidades_2025[[#This Row],[1° trim 2025]:[4° trim 2025]])</f>
        <v>293</v>
      </c>
      <c r="G31" s="21">
        <f>AVERAGE(Unidades_2025[[#This Row],[1° trim 2025]:[4° trim 2025]])</f>
        <v>73.25</v>
      </c>
      <c r="H31" s="159">
        <f>(Unidades_2025[[#This Row],[Total]]/Unidades_2025[[#Totals],[Total]])</f>
        <v>4.337206720450004E-3</v>
      </c>
      <c r="K31" s="66"/>
      <c r="L31" s="78"/>
      <c r="M31" s="79"/>
      <c r="N31" s="79"/>
      <c r="O31" s="13"/>
      <c r="P31" s="35"/>
      <c r="Q31" s="35"/>
      <c r="R31" s="79"/>
      <c r="S31" s="79"/>
      <c r="T31" s="79"/>
      <c r="U31" s="78"/>
    </row>
    <row r="32" spans="1:21" customFormat="1" ht="15">
      <c r="A32" s="43" t="s">
        <v>332</v>
      </c>
      <c r="B32" s="22">
        <v>124</v>
      </c>
      <c r="C32" s="22">
        <v>105</v>
      </c>
      <c r="D32" s="22">
        <v>107</v>
      </c>
      <c r="E32" s="22">
        <v>91</v>
      </c>
      <c r="F32" s="21">
        <f>SUM(Unidades_2025[[#This Row],[1° trim 2025]:[4° trim 2025]])</f>
        <v>427</v>
      </c>
      <c r="G32" s="21">
        <f>AVERAGE(Unidades_2025[[#This Row],[1° trim 2025]:[4° trim 2025]])</f>
        <v>106.75</v>
      </c>
      <c r="H32" s="159">
        <f>(Unidades_2025[[#This Row],[Total]]/Unidades_2025[[#Totals],[Total]])</f>
        <v>6.3207756642735553E-3</v>
      </c>
      <c r="K32" s="66"/>
      <c r="L32" s="79"/>
      <c r="M32" s="79"/>
      <c r="N32" s="79"/>
      <c r="O32" s="13"/>
      <c r="P32" s="35"/>
      <c r="Q32" s="35"/>
      <c r="R32" s="79"/>
      <c r="S32" s="79"/>
      <c r="T32" s="79"/>
      <c r="U32" s="78"/>
    </row>
    <row r="33" spans="1:21" customFormat="1" ht="15" customHeight="1">
      <c r="A33" s="43" t="s">
        <v>333</v>
      </c>
      <c r="B33" s="22">
        <v>0</v>
      </c>
      <c r="C33" s="22">
        <v>2</v>
      </c>
      <c r="D33" s="22">
        <v>3</v>
      </c>
      <c r="E33" s="22">
        <v>2</v>
      </c>
      <c r="F33" s="21">
        <f>SUM(Unidades_2025[[#This Row],[1° trim 2025]:[4° trim 2025]])</f>
        <v>7</v>
      </c>
      <c r="G33" s="21">
        <f>AVERAGE(Unidades_2025[[#This Row],[1° trim 2025]:[4° trim 2025]])</f>
        <v>1.75</v>
      </c>
      <c r="H33" s="159">
        <f>(Unidades_2025[[#This Row],[Total]]/Unidades_2025[[#Totals],[Total]])</f>
        <v>1.0361927318481238E-4</v>
      </c>
      <c r="K33" s="66"/>
      <c r="L33" s="79"/>
      <c r="M33" s="79"/>
      <c r="N33" s="79"/>
      <c r="O33" s="13"/>
      <c r="P33" s="35"/>
      <c r="Q33" s="35"/>
      <c r="R33" s="79"/>
      <c r="S33" s="79"/>
      <c r="T33" s="79"/>
      <c r="U33" s="78"/>
    </row>
    <row r="34" spans="1:21" customFormat="1" ht="15" customHeight="1">
      <c r="A34" s="43" t="s">
        <v>334</v>
      </c>
      <c r="B34" s="22">
        <v>143</v>
      </c>
      <c r="C34" s="22">
        <v>130</v>
      </c>
      <c r="D34" s="22">
        <v>180</v>
      </c>
      <c r="E34" s="22">
        <v>158</v>
      </c>
      <c r="F34" s="21">
        <f>SUM(Unidades_2025[[#This Row],[1° trim 2025]:[4° trim 2025]])</f>
        <v>611</v>
      </c>
      <c r="G34" s="21">
        <f>AVERAGE(Unidades_2025[[#This Row],[1° trim 2025]:[4° trim 2025]])</f>
        <v>152.75</v>
      </c>
      <c r="H34" s="159">
        <f>(Unidades_2025[[#This Row],[Total]]/Unidades_2025[[#Totals],[Total]])</f>
        <v>9.0444822737029088E-3</v>
      </c>
      <c r="K34" s="66"/>
      <c r="L34" s="79"/>
      <c r="M34" s="79"/>
      <c r="N34" s="79"/>
      <c r="O34" s="13"/>
      <c r="P34" s="35"/>
      <c r="Q34" s="35"/>
      <c r="R34" s="79"/>
      <c r="S34" s="79"/>
      <c r="T34" s="79"/>
      <c r="U34" s="78"/>
    </row>
    <row r="35" spans="1:21" customFormat="1" ht="15" customHeight="1">
      <c r="A35" s="43" t="s">
        <v>335</v>
      </c>
      <c r="B35" s="22">
        <v>165</v>
      </c>
      <c r="C35" s="22">
        <v>97</v>
      </c>
      <c r="D35" s="22">
        <v>140</v>
      </c>
      <c r="E35" s="22">
        <v>120</v>
      </c>
      <c r="F35" s="21">
        <f>SUM(Unidades_2025[[#This Row],[1° trim 2025]:[4° trim 2025]])</f>
        <v>522</v>
      </c>
      <c r="G35" s="21">
        <f>AVERAGE(Unidades_2025[[#This Row],[1° trim 2025]:[4° trim 2025]])</f>
        <v>130.5</v>
      </c>
      <c r="H35" s="159">
        <f>(Unidades_2025[[#This Row],[Total]]/Unidades_2025[[#Totals],[Total]])</f>
        <v>7.7270372289245798E-3</v>
      </c>
      <c r="K35" s="66"/>
      <c r="L35" s="79"/>
      <c r="M35" s="79"/>
      <c r="N35" s="79"/>
      <c r="O35" s="13"/>
      <c r="P35" s="35"/>
      <c r="Q35" s="35"/>
      <c r="R35" s="79"/>
      <c r="S35" s="79"/>
      <c r="T35" s="79"/>
      <c r="U35" s="78"/>
    </row>
    <row r="36" spans="1:21" customFormat="1" ht="15" customHeight="1">
      <c r="A36" s="43" t="s">
        <v>336</v>
      </c>
      <c r="B36" s="22">
        <v>14</v>
      </c>
      <c r="C36" s="22">
        <v>7</v>
      </c>
      <c r="D36" s="22">
        <v>7</v>
      </c>
      <c r="E36" s="22">
        <v>3</v>
      </c>
      <c r="F36" s="21">
        <f>SUM(Unidades_2025[[#This Row],[1° trim 2025]:[4° trim 2025]])</f>
        <v>31</v>
      </c>
      <c r="G36" s="21">
        <f>AVERAGE(Unidades_2025[[#This Row],[1° trim 2025]:[4° trim 2025]])</f>
        <v>7.75</v>
      </c>
      <c r="H36" s="159">
        <f>(Unidades_2025[[#This Row],[Total]]/Unidades_2025[[#Totals],[Total]])</f>
        <v>4.5888535267559768E-4</v>
      </c>
      <c r="K36" s="66"/>
      <c r="L36" s="79"/>
      <c r="M36" s="79"/>
      <c r="N36" s="79"/>
      <c r="O36" s="13"/>
      <c r="P36" s="35"/>
      <c r="Q36" s="35"/>
      <c r="R36" s="79"/>
      <c r="S36" s="79"/>
      <c r="T36" s="79"/>
      <c r="U36" s="78"/>
    </row>
    <row r="37" spans="1:21" customFormat="1" ht="15" customHeight="1">
      <c r="A37" s="43" t="s">
        <v>337</v>
      </c>
      <c r="B37" s="22">
        <v>281</v>
      </c>
      <c r="C37" s="22">
        <v>248</v>
      </c>
      <c r="D37" s="22">
        <v>333</v>
      </c>
      <c r="E37" s="22">
        <v>226</v>
      </c>
      <c r="F37" s="21">
        <f>SUM(Unidades_2025[[#This Row],[1° trim 2025]:[4° trim 2025]])</f>
        <v>1088</v>
      </c>
      <c r="G37" s="21">
        <f>AVERAGE(Unidades_2025[[#This Row],[1° trim 2025]:[4° trim 2025]])</f>
        <v>272</v>
      </c>
      <c r="H37" s="159">
        <f>(Unidades_2025[[#This Row],[Total]]/Unidades_2025[[#Totals],[Total]])</f>
        <v>1.6105395603582266E-2</v>
      </c>
      <c r="K37" s="66"/>
      <c r="L37" s="79"/>
      <c r="M37" s="79"/>
      <c r="N37" s="79"/>
      <c r="O37" s="13"/>
      <c r="P37" s="35"/>
      <c r="Q37" s="35"/>
      <c r="R37" s="79"/>
      <c r="S37" s="79"/>
      <c r="T37" s="79"/>
      <c r="U37" s="78"/>
    </row>
    <row r="38" spans="1:21" customFormat="1" ht="15" customHeight="1">
      <c r="A38" s="43" t="s">
        <v>338</v>
      </c>
      <c r="B38" s="22">
        <v>399</v>
      </c>
      <c r="C38" s="22">
        <v>216</v>
      </c>
      <c r="D38" s="22">
        <v>271</v>
      </c>
      <c r="E38" s="22">
        <v>168</v>
      </c>
      <c r="F38" s="21">
        <f>SUM(Unidades_2025[[#This Row],[1° trim 2025]:[4° trim 2025]])</f>
        <v>1054</v>
      </c>
      <c r="G38" s="21">
        <f>AVERAGE(Unidades_2025[[#This Row],[1° trim 2025]:[4° trim 2025]])</f>
        <v>263.5</v>
      </c>
      <c r="H38" s="159">
        <f>(Unidades_2025[[#This Row],[Total]]/Unidades_2025[[#Totals],[Total]])</f>
        <v>1.560210199097032E-2</v>
      </c>
      <c r="K38" s="66"/>
      <c r="L38" s="79"/>
      <c r="M38" s="79"/>
      <c r="N38" s="79"/>
      <c r="O38" s="13"/>
      <c r="P38" s="35"/>
      <c r="Q38" s="35"/>
      <c r="R38" s="79"/>
      <c r="S38" s="79"/>
      <c r="T38" s="79"/>
      <c r="U38" s="78"/>
    </row>
    <row r="39" spans="1:21" customFormat="1" ht="15" customHeight="1">
      <c r="A39" s="43" t="s">
        <v>339</v>
      </c>
      <c r="B39" s="22">
        <v>85</v>
      </c>
      <c r="C39" s="22">
        <v>88</v>
      </c>
      <c r="D39" s="22">
        <v>67</v>
      </c>
      <c r="E39" s="22">
        <v>68</v>
      </c>
      <c r="F39" s="21">
        <f>SUM(Unidades_2025[[#This Row],[1° trim 2025]:[4° trim 2025]])</f>
        <v>308</v>
      </c>
      <c r="G39" s="21">
        <f>AVERAGE(Unidades_2025[[#This Row],[1° trim 2025]:[4° trim 2025]])</f>
        <v>77</v>
      </c>
      <c r="H39" s="159">
        <f>(Unidades_2025[[#This Row],[Total]]/Unidades_2025[[#Totals],[Total]])</f>
        <v>4.5592480201317445E-3</v>
      </c>
      <c r="K39" s="66"/>
      <c r="L39" s="79"/>
      <c r="M39" s="79"/>
      <c r="N39" s="79"/>
      <c r="O39" s="13"/>
      <c r="P39" s="35"/>
      <c r="Q39" s="35"/>
      <c r="R39" s="79"/>
      <c r="S39" s="79"/>
      <c r="T39" s="79"/>
      <c r="U39" s="78"/>
    </row>
    <row r="40" spans="1:21" customFormat="1" ht="15" customHeight="1">
      <c r="A40" s="43" t="s">
        <v>340</v>
      </c>
      <c r="B40" s="22">
        <v>230</v>
      </c>
      <c r="C40" s="22">
        <v>282</v>
      </c>
      <c r="D40" s="22">
        <v>168</v>
      </c>
      <c r="E40" s="22">
        <v>212</v>
      </c>
      <c r="F40" s="21">
        <f>SUM(Unidades_2025[[#This Row],[1° trim 2025]:[4° trim 2025]])</f>
        <v>892</v>
      </c>
      <c r="G40" s="21">
        <f>AVERAGE(Unidades_2025[[#This Row],[1° trim 2025]:[4° trim 2025]])</f>
        <v>223</v>
      </c>
      <c r="H40" s="159">
        <f>(Unidades_2025[[#This Row],[Total]]/Unidades_2025[[#Totals],[Total]])</f>
        <v>1.3204055954407519E-2</v>
      </c>
      <c r="K40" s="66"/>
      <c r="L40" s="79"/>
      <c r="M40" s="79"/>
      <c r="N40" s="79"/>
      <c r="O40" s="13"/>
      <c r="P40" s="35"/>
      <c r="Q40" s="35"/>
      <c r="R40" s="79"/>
      <c r="S40" s="79"/>
      <c r="T40" s="79"/>
      <c r="U40" s="78"/>
    </row>
    <row r="41" spans="1:21" customFormat="1" ht="15" customHeight="1">
      <c r="A41" s="43" t="s">
        <v>341</v>
      </c>
      <c r="B41" s="22">
        <v>156</v>
      </c>
      <c r="C41" s="22">
        <v>157</v>
      </c>
      <c r="D41" s="22">
        <v>139</v>
      </c>
      <c r="E41" s="22">
        <v>113</v>
      </c>
      <c r="F41" s="21">
        <f>SUM(Unidades_2025[[#This Row],[1° trim 2025]:[4° trim 2025]])</f>
        <v>565</v>
      </c>
      <c r="G41" s="21">
        <f>AVERAGE(Unidades_2025[[#This Row],[1° trim 2025]:[4° trim 2025]])</f>
        <v>141.25</v>
      </c>
      <c r="H41" s="159">
        <f>(Unidades_2025[[#This Row],[Total]]/Unidades_2025[[#Totals],[Total]])</f>
        <v>8.3635556213455704E-3</v>
      </c>
      <c r="K41" s="66"/>
      <c r="L41" s="79"/>
      <c r="M41" s="79"/>
      <c r="N41" s="79"/>
      <c r="O41" s="13"/>
      <c r="P41" s="35"/>
      <c r="Q41" s="35"/>
      <c r="R41" s="79"/>
      <c r="S41" s="79"/>
      <c r="T41" s="79"/>
      <c r="U41" s="78"/>
    </row>
    <row r="42" spans="1:21" customFormat="1" ht="15" customHeight="1">
      <c r="A42" s="43" t="s">
        <v>342</v>
      </c>
      <c r="B42" s="22">
        <v>128</v>
      </c>
      <c r="C42" s="22">
        <v>108</v>
      </c>
      <c r="D42" s="22">
        <v>115</v>
      </c>
      <c r="E42" s="22">
        <v>121</v>
      </c>
      <c r="F42" s="21">
        <f>SUM(Unidades_2025[[#This Row],[1° trim 2025]:[4° trim 2025]])</f>
        <v>472</v>
      </c>
      <c r="G42" s="21">
        <f>AVERAGE(Unidades_2025[[#This Row],[1° trim 2025]:[4° trim 2025]])</f>
        <v>118</v>
      </c>
      <c r="H42" s="159">
        <f>(Unidades_2025[[#This Row],[Total]]/Unidades_2025[[#Totals],[Total]])</f>
        <v>6.9868995633187774E-3</v>
      </c>
      <c r="K42" s="66"/>
      <c r="L42" s="79"/>
      <c r="M42" s="79"/>
      <c r="N42" s="79"/>
      <c r="O42" s="13"/>
      <c r="P42" s="35"/>
      <c r="Q42" s="35"/>
      <c r="R42" s="79"/>
      <c r="S42" s="79"/>
      <c r="T42" s="79"/>
      <c r="U42" s="78"/>
    </row>
    <row r="43" spans="1:21" customFormat="1" ht="15" customHeight="1">
      <c r="A43" s="43" t="s">
        <v>343</v>
      </c>
      <c r="B43" s="22">
        <v>115</v>
      </c>
      <c r="C43" s="22">
        <v>96</v>
      </c>
      <c r="D43" s="22">
        <v>90</v>
      </c>
      <c r="E43" s="22">
        <v>85</v>
      </c>
      <c r="F43" s="21">
        <f>SUM(Unidades_2025[[#This Row],[1° trim 2025]:[4° trim 2025]])</f>
        <v>386</v>
      </c>
      <c r="G43" s="21">
        <f>AVERAGE(Unidades_2025[[#This Row],[1° trim 2025]:[4° trim 2025]])</f>
        <v>96.5</v>
      </c>
      <c r="H43" s="159">
        <f>(Unidades_2025[[#This Row],[Total]]/Unidades_2025[[#Totals],[Total]])</f>
        <v>5.713862778476797E-3</v>
      </c>
      <c r="K43" s="66"/>
      <c r="L43" s="79"/>
      <c r="M43" s="79"/>
      <c r="N43" s="79"/>
      <c r="O43" s="13"/>
      <c r="P43" s="35"/>
      <c r="Q43" s="35"/>
      <c r="R43" s="79"/>
      <c r="S43" s="79"/>
      <c r="T43" s="79"/>
      <c r="U43" s="78"/>
    </row>
    <row r="44" spans="1:21" customFormat="1" ht="15" customHeight="1">
      <c r="A44" s="43" t="s">
        <v>344</v>
      </c>
      <c r="B44" s="22">
        <v>98</v>
      </c>
      <c r="C44" s="22">
        <v>93</v>
      </c>
      <c r="D44" s="22">
        <v>92</v>
      </c>
      <c r="E44" s="22">
        <v>90</v>
      </c>
      <c r="F44" s="21">
        <f>SUM(Unidades_2025[[#This Row],[1° trim 2025]:[4° trim 2025]])</f>
        <v>373</v>
      </c>
      <c r="G44" s="21">
        <f>AVERAGE(Unidades_2025[[#This Row],[1° trim 2025]:[4° trim 2025]])</f>
        <v>93.25</v>
      </c>
      <c r="H44" s="159">
        <f>(Unidades_2025[[#This Row],[Total]]/Unidades_2025[[#Totals],[Total]])</f>
        <v>5.5214269854192881E-3</v>
      </c>
      <c r="K44" s="66"/>
      <c r="L44" s="79"/>
      <c r="M44" s="79"/>
      <c r="N44" s="79"/>
      <c r="O44" s="13"/>
      <c r="P44" s="35"/>
      <c r="Q44" s="35"/>
      <c r="R44" s="79"/>
      <c r="S44" s="79"/>
      <c r="T44" s="79"/>
      <c r="U44" s="78"/>
    </row>
    <row r="45" spans="1:21" customFormat="1" ht="15" customHeight="1">
      <c r="A45" s="43" t="s">
        <v>345</v>
      </c>
      <c r="B45" s="22">
        <v>22</v>
      </c>
      <c r="C45" s="22">
        <v>20</v>
      </c>
      <c r="D45" s="22">
        <v>10</v>
      </c>
      <c r="E45" s="22">
        <v>16</v>
      </c>
      <c r="F45" s="21">
        <f>SUM(Unidades_2025[[#This Row],[1° trim 2025]:[4° trim 2025]])</f>
        <v>68</v>
      </c>
      <c r="G45" s="21">
        <f>AVERAGE(Unidades_2025[[#This Row],[1° trim 2025]:[4° trim 2025]])</f>
        <v>17</v>
      </c>
      <c r="H45" s="159">
        <f>(Unidades_2025[[#This Row],[Total]]/Unidades_2025[[#Totals],[Total]])</f>
        <v>1.0065872252238916E-3</v>
      </c>
      <c r="K45" s="66"/>
      <c r="L45" s="79"/>
      <c r="M45" s="79"/>
      <c r="N45" s="79"/>
      <c r="O45" s="13"/>
      <c r="P45" s="35"/>
      <c r="Q45" s="35"/>
      <c r="R45" s="79"/>
      <c r="S45" s="79"/>
      <c r="T45" s="79"/>
      <c r="U45" s="78"/>
    </row>
    <row r="46" spans="1:21" customFormat="1" ht="15" customHeight="1">
      <c r="A46" s="43" t="s">
        <v>346</v>
      </c>
      <c r="B46" s="22">
        <v>33</v>
      </c>
      <c r="C46" s="22">
        <v>30</v>
      </c>
      <c r="D46" s="22">
        <v>22</v>
      </c>
      <c r="E46" s="22">
        <v>24</v>
      </c>
      <c r="F46" s="21">
        <f>SUM(Unidades_2025[[#This Row],[1° trim 2025]:[4° trim 2025]])</f>
        <v>109</v>
      </c>
      <c r="G46" s="21">
        <f>AVERAGE(Unidades_2025[[#This Row],[1° trim 2025]:[4° trim 2025]])</f>
        <v>27.25</v>
      </c>
      <c r="H46" s="159">
        <f>(Unidades_2025[[#This Row],[Total]]/Unidades_2025[[#Totals],[Total]])</f>
        <v>1.6135001110206498E-3</v>
      </c>
      <c r="K46" s="66"/>
      <c r="L46" s="79"/>
      <c r="M46" s="79"/>
      <c r="N46" s="79"/>
      <c r="O46" s="13"/>
      <c r="P46" s="35"/>
      <c r="Q46" s="35"/>
      <c r="R46" s="79"/>
      <c r="S46" s="79"/>
      <c r="T46" s="79"/>
      <c r="U46" s="78"/>
    </row>
    <row r="47" spans="1:21" customFormat="1" ht="15" customHeight="1">
      <c r="A47" s="43" t="s">
        <v>347</v>
      </c>
      <c r="B47" s="22">
        <v>68</v>
      </c>
      <c r="C47" s="22">
        <v>47</v>
      </c>
      <c r="D47" s="22">
        <v>69</v>
      </c>
      <c r="E47" s="22">
        <v>59</v>
      </c>
      <c r="F47" s="21">
        <f>SUM(Unidades_2025[[#This Row],[1° trim 2025]:[4° trim 2025]])</f>
        <v>243</v>
      </c>
      <c r="G47" s="21">
        <f>AVERAGE(Unidades_2025[[#This Row],[1° trim 2025]:[4° trim 2025]])</f>
        <v>60.75</v>
      </c>
      <c r="H47" s="159">
        <f>(Unidades_2025[[#This Row],[Total]]/Unidades_2025[[#Totals],[Total]])</f>
        <v>3.5970690548442008E-3</v>
      </c>
      <c r="K47" s="66"/>
      <c r="L47" s="79"/>
      <c r="M47" s="79"/>
      <c r="N47" s="79"/>
      <c r="O47" s="13"/>
      <c r="P47" s="35"/>
      <c r="Q47" s="35"/>
      <c r="R47" s="79"/>
      <c r="S47" s="79"/>
      <c r="T47" s="79"/>
      <c r="U47" s="78"/>
    </row>
    <row r="48" spans="1:21" customFormat="1" ht="15" customHeight="1">
      <c r="A48" s="43" t="s">
        <v>348</v>
      </c>
      <c r="B48" s="22">
        <v>51</v>
      </c>
      <c r="C48" s="22">
        <v>37</v>
      </c>
      <c r="D48" s="22">
        <v>54</v>
      </c>
      <c r="E48" s="22">
        <v>32</v>
      </c>
      <c r="F48" s="21">
        <f>SUM(Unidades_2025[[#This Row],[1° trim 2025]:[4° trim 2025]])</f>
        <v>174</v>
      </c>
      <c r="G48" s="21">
        <f>AVERAGE(Unidades_2025[[#This Row],[1° trim 2025]:[4° trim 2025]])</f>
        <v>43.5</v>
      </c>
      <c r="H48" s="159">
        <f>(Unidades_2025[[#This Row],[Total]]/Unidades_2025[[#Totals],[Total]])</f>
        <v>2.5756790763081933E-3</v>
      </c>
      <c r="K48" s="66"/>
      <c r="L48" s="79"/>
      <c r="M48" s="79"/>
      <c r="N48" s="79"/>
      <c r="O48" s="13"/>
      <c r="P48" s="35"/>
      <c r="Q48" s="35"/>
      <c r="R48" s="79"/>
      <c r="S48" s="79"/>
      <c r="T48" s="79"/>
      <c r="U48" s="78"/>
    </row>
    <row r="49" spans="1:21" customFormat="1" ht="15" customHeight="1">
      <c r="A49" s="43" t="s">
        <v>349</v>
      </c>
      <c r="B49" s="22">
        <v>193</v>
      </c>
      <c r="C49" s="22">
        <v>224</v>
      </c>
      <c r="D49" s="22">
        <v>194</v>
      </c>
      <c r="E49" s="22">
        <v>233</v>
      </c>
      <c r="F49" s="21">
        <f>SUM(Unidades_2025[[#This Row],[1° trim 2025]:[4° trim 2025]])</f>
        <v>844</v>
      </c>
      <c r="G49" s="21">
        <f>AVERAGE(Unidades_2025[[#This Row],[1° trim 2025]:[4° trim 2025]])</f>
        <v>211</v>
      </c>
      <c r="H49" s="159">
        <f>(Unidades_2025[[#This Row],[Total]]/Unidades_2025[[#Totals],[Total]])</f>
        <v>1.2493523795425948E-2</v>
      </c>
      <c r="K49" s="66"/>
      <c r="L49" s="79"/>
      <c r="M49" s="79"/>
      <c r="N49" s="79"/>
      <c r="O49" s="13"/>
      <c r="P49" s="35"/>
      <c r="Q49" s="35"/>
      <c r="R49" s="79"/>
      <c r="S49" s="79"/>
      <c r="T49" s="79"/>
      <c r="U49" s="78"/>
    </row>
    <row r="50" spans="1:21" customFormat="1" ht="15" customHeight="1">
      <c r="A50" s="43" t="s">
        <v>350</v>
      </c>
      <c r="B50" s="22">
        <v>71</v>
      </c>
      <c r="C50" s="22">
        <v>89</v>
      </c>
      <c r="D50" s="22">
        <v>73</v>
      </c>
      <c r="E50" s="22">
        <v>51</v>
      </c>
      <c r="F50" s="21">
        <f>SUM(Unidades_2025[[#This Row],[1° trim 2025]:[4° trim 2025]])</f>
        <v>284</v>
      </c>
      <c r="G50" s="21">
        <f>AVERAGE(Unidades_2025[[#This Row],[1° trim 2025]:[4° trim 2025]])</f>
        <v>71</v>
      </c>
      <c r="H50" s="159">
        <f>(Unidades_2025[[#This Row],[Total]]/Unidades_2025[[#Totals],[Total]])</f>
        <v>4.2039819406409591E-3</v>
      </c>
      <c r="K50" s="66"/>
      <c r="L50" s="79"/>
      <c r="M50" s="79"/>
      <c r="N50" s="79"/>
      <c r="O50" s="13"/>
      <c r="P50" s="35"/>
      <c r="Q50" s="35"/>
      <c r="R50" s="79"/>
      <c r="S50" s="79"/>
      <c r="T50" s="79"/>
      <c r="U50" s="78"/>
    </row>
    <row r="51" spans="1:21" customFormat="1" ht="15" customHeight="1">
      <c r="A51" s="43" t="s">
        <v>351</v>
      </c>
      <c r="B51" s="22">
        <v>179</v>
      </c>
      <c r="C51" s="22">
        <v>144</v>
      </c>
      <c r="D51" s="22">
        <v>145</v>
      </c>
      <c r="E51" s="22">
        <v>119</v>
      </c>
      <c r="F51" s="21">
        <f>SUM(Unidades_2025[[#This Row],[1° trim 2025]:[4° trim 2025]])</f>
        <v>587</v>
      </c>
      <c r="G51" s="21">
        <f>AVERAGE(Unidades_2025[[#This Row],[1° trim 2025]:[4° trim 2025]])</f>
        <v>146.75</v>
      </c>
      <c r="H51" s="159">
        <f>(Unidades_2025[[#This Row],[Total]]/Unidades_2025[[#Totals],[Total]])</f>
        <v>8.6892161942121234E-3</v>
      </c>
      <c r="K51" s="66"/>
      <c r="L51" s="79"/>
      <c r="M51" s="79"/>
      <c r="N51" s="79"/>
      <c r="O51" s="13"/>
      <c r="P51" s="35"/>
      <c r="Q51" s="35"/>
      <c r="R51" s="79"/>
      <c r="S51" s="79"/>
      <c r="T51" s="79"/>
      <c r="U51" s="78"/>
    </row>
    <row r="52" spans="1:21" customFormat="1" ht="15" customHeight="1">
      <c r="A52" s="43" t="s">
        <v>352</v>
      </c>
      <c r="B52" s="22">
        <v>76</v>
      </c>
      <c r="C52" s="22">
        <v>45</v>
      </c>
      <c r="D52" s="22">
        <v>37</v>
      </c>
      <c r="E52" s="22">
        <v>53</v>
      </c>
      <c r="F52" s="21">
        <f>SUM(Unidades_2025[[#This Row],[1° trim 2025]:[4° trim 2025]])</f>
        <v>211</v>
      </c>
      <c r="G52" s="21">
        <f>AVERAGE(Unidades_2025[[#This Row],[1° trim 2025]:[4° trim 2025]])</f>
        <v>52.75</v>
      </c>
      <c r="H52" s="159">
        <f>(Unidades_2025[[#This Row],[Total]]/Unidades_2025[[#Totals],[Total]])</f>
        <v>3.1233809488564871E-3</v>
      </c>
      <c r="K52" s="66"/>
      <c r="L52" s="79"/>
      <c r="M52" s="79"/>
      <c r="N52" s="79"/>
      <c r="O52" s="13"/>
      <c r="P52" s="35"/>
      <c r="Q52" s="35"/>
      <c r="R52" s="79"/>
      <c r="S52" s="79"/>
      <c r="T52" s="79"/>
      <c r="U52" s="78"/>
    </row>
    <row r="53" spans="1:21" customFormat="1" ht="15" customHeight="1">
      <c r="A53" s="43" t="s">
        <v>353</v>
      </c>
      <c r="B53" s="22">
        <v>118</v>
      </c>
      <c r="C53" s="22">
        <v>103</v>
      </c>
      <c r="D53" s="22">
        <v>92</v>
      </c>
      <c r="E53" s="22">
        <v>63</v>
      </c>
      <c r="F53" s="21">
        <f>SUM(Unidades_2025[[#This Row],[1° trim 2025]:[4° trim 2025]])</f>
        <v>376</v>
      </c>
      <c r="G53" s="21">
        <f>AVERAGE(Unidades_2025[[#This Row],[1° trim 2025]:[4° trim 2025]])</f>
        <v>94</v>
      </c>
      <c r="H53" s="159">
        <f>(Unidades_2025[[#This Row],[Total]]/Unidades_2025[[#Totals],[Total]])</f>
        <v>5.5658352453556359E-3</v>
      </c>
      <c r="K53" s="66"/>
      <c r="L53" s="79"/>
      <c r="M53" s="79"/>
      <c r="N53" s="79"/>
      <c r="O53" s="13"/>
      <c r="P53" s="35"/>
      <c r="Q53" s="35"/>
      <c r="R53" s="79"/>
      <c r="S53" s="79"/>
      <c r="T53" s="79"/>
      <c r="U53" s="78"/>
    </row>
    <row r="54" spans="1:21" customFormat="1" ht="15" customHeight="1">
      <c r="A54" s="43" t="s">
        <v>354</v>
      </c>
      <c r="B54" s="22">
        <v>213</v>
      </c>
      <c r="C54" s="22">
        <v>192</v>
      </c>
      <c r="D54" s="22">
        <v>312</v>
      </c>
      <c r="E54" s="22">
        <v>217</v>
      </c>
      <c r="F54" s="21">
        <f>SUM(Unidades_2025[[#This Row],[1° trim 2025]:[4° trim 2025]])</f>
        <v>934</v>
      </c>
      <c r="G54" s="21">
        <f>AVERAGE(Unidades_2025[[#This Row],[1° trim 2025]:[4° trim 2025]])</f>
        <v>233.5</v>
      </c>
      <c r="H54" s="159">
        <f>(Unidades_2025[[#This Row],[Total]]/Unidades_2025[[#Totals],[Total]])</f>
        <v>1.3825771593516395E-2</v>
      </c>
      <c r="K54" s="66"/>
      <c r="L54" s="79"/>
      <c r="M54" s="79"/>
      <c r="N54" s="79"/>
      <c r="O54" s="13"/>
      <c r="P54" s="35"/>
      <c r="Q54" s="35"/>
      <c r="R54" s="79"/>
      <c r="S54" s="79"/>
      <c r="T54" s="79"/>
      <c r="U54" s="78"/>
    </row>
    <row r="55" spans="1:21" customFormat="1" ht="15" customHeight="1">
      <c r="A55" s="43" t="s">
        <v>355</v>
      </c>
      <c r="B55" s="22">
        <v>81</v>
      </c>
      <c r="C55" s="22">
        <v>86</v>
      </c>
      <c r="D55" s="22">
        <v>71</v>
      </c>
      <c r="E55" s="22">
        <v>64</v>
      </c>
      <c r="F55" s="21">
        <f>SUM(Unidades_2025[[#This Row],[1° trim 2025]:[4° trim 2025]])</f>
        <v>302</v>
      </c>
      <c r="G55" s="21">
        <f>AVERAGE(Unidades_2025[[#This Row],[1° trim 2025]:[4° trim 2025]])</f>
        <v>75.5</v>
      </c>
      <c r="H55" s="159">
        <f>(Unidades_2025[[#This Row],[Total]]/Unidades_2025[[#Totals],[Total]])</f>
        <v>4.4704315002590481E-3</v>
      </c>
      <c r="K55" s="66"/>
      <c r="L55" s="79"/>
      <c r="M55" s="79"/>
      <c r="N55" s="79"/>
      <c r="O55" s="13"/>
      <c r="P55" s="35"/>
      <c r="Q55" s="35"/>
      <c r="R55" s="79"/>
      <c r="S55" s="79"/>
      <c r="T55" s="79"/>
      <c r="U55" s="78"/>
    </row>
    <row r="56" spans="1:21" customFormat="1" ht="15" customHeight="1">
      <c r="A56" s="43" t="s">
        <v>356</v>
      </c>
      <c r="B56" s="22">
        <v>168</v>
      </c>
      <c r="C56" s="22">
        <v>177</v>
      </c>
      <c r="D56" s="22">
        <v>161</v>
      </c>
      <c r="E56" s="22">
        <v>123</v>
      </c>
      <c r="F56" s="21">
        <f>SUM(Unidades_2025[[#This Row],[1° trim 2025]:[4° trim 2025]])</f>
        <v>629</v>
      </c>
      <c r="G56" s="21">
        <f>AVERAGE(Unidades_2025[[#This Row],[1° trim 2025]:[4° trim 2025]])</f>
        <v>157.25</v>
      </c>
      <c r="H56" s="159">
        <f>(Unidades_2025[[#This Row],[Total]]/Unidades_2025[[#Totals],[Total]])</f>
        <v>9.310931833320997E-3</v>
      </c>
      <c r="K56" s="66"/>
      <c r="L56" s="79"/>
      <c r="M56" s="79"/>
      <c r="N56" s="79"/>
      <c r="O56" s="13"/>
      <c r="P56" s="35"/>
      <c r="Q56" s="35"/>
      <c r="R56" s="79"/>
      <c r="S56" s="79"/>
      <c r="T56" s="79"/>
      <c r="U56" s="78"/>
    </row>
    <row r="57" spans="1:21" customFormat="1" ht="15" customHeight="1">
      <c r="A57" s="43" t="s">
        <v>357</v>
      </c>
      <c r="B57" s="22">
        <v>51</v>
      </c>
      <c r="C57" s="22">
        <v>63</v>
      </c>
      <c r="D57" s="22">
        <v>33</v>
      </c>
      <c r="E57" s="22">
        <v>29</v>
      </c>
      <c r="F57" s="21">
        <f>SUM(Unidades_2025[[#This Row],[1° trim 2025]:[4° trim 2025]])</f>
        <v>176</v>
      </c>
      <c r="G57" s="21">
        <f>AVERAGE(Unidades_2025[[#This Row],[1° trim 2025]:[4° trim 2025]])</f>
        <v>44</v>
      </c>
      <c r="H57" s="159">
        <f>(Unidades_2025[[#This Row],[Total]]/Unidades_2025[[#Totals],[Total]])</f>
        <v>2.6052845829324252E-3</v>
      </c>
      <c r="K57" s="66"/>
      <c r="L57" s="79"/>
      <c r="M57" s="79"/>
      <c r="N57" s="79"/>
      <c r="O57" s="13"/>
      <c r="P57" s="35"/>
      <c r="Q57" s="35"/>
      <c r="R57" s="79"/>
      <c r="S57" s="79"/>
      <c r="T57" s="79"/>
      <c r="U57" s="78"/>
    </row>
    <row r="58" spans="1:21" customFormat="1" ht="15" customHeight="1">
      <c r="A58" s="43" t="s">
        <v>358</v>
      </c>
      <c r="B58" s="22">
        <v>192</v>
      </c>
      <c r="C58" s="22">
        <v>165</v>
      </c>
      <c r="D58" s="22">
        <v>168</v>
      </c>
      <c r="E58" s="22">
        <v>165</v>
      </c>
      <c r="F58" s="21">
        <f>SUM(Unidades_2025[[#This Row],[1° trim 2025]:[4° trim 2025]])</f>
        <v>690</v>
      </c>
      <c r="G58" s="21">
        <f>AVERAGE(Unidades_2025[[#This Row],[1° trim 2025]:[4° trim 2025]])</f>
        <v>172.5</v>
      </c>
      <c r="H58" s="159">
        <f>(Unidades_2025[[#This Row],[Total]]/Unidades_2025[[#Totals],[Total]])</f>
        <v>1.0213899785360078E-2</v>
      </c>
      <c r="K58" s="66"/>
      <c r="L58" s="79"/>
      <c r="M58" s="79"/>
      <c r="N58" s="79"/>
      <c r="O58" s="13"/>
      <c r="P58" s="35"/>
      <c r="Q58" s="35"/>
      <c r="R58" s="79"/>
      <c r="S58" s="79"/>
      <c r="T58" s="79"/>
      <c r="U58" s="78"/>
    </row>
    <row r="59" spans="1:21" customFormat="1" ht="15" customHeight="1">
      <c r="A59" s="43" t="s">
        <v>359</v>
      </c>
      <c r="B59" s="22">
        <v>20</v>
      </c>
      <c r="C59" s="22">
        <v>19</v>
      </c>
      <c r="D59" s="22">
        <v>19</v>
      </c>
      <c r="E59" s="22">
        <v>13</v>
      </c>
      <c r="F59" s="21">
        <f>SUM(Unidades_2025[[#This Row],[1° trim 2025]:[4° trim 2025]])</f>
        <v>71</v>
      </c>
      <c r="G59" s="21">
        <f>AVERAGE(Unidades_2025[[#This Row],[1° trim 2025]:[4° trim 2025]])</f>
        <v>17.75</v>
      </c>
      <c r="H59" s="159">
        <f>(Unidades_2025[[#This Row],[Total]]/Unidades_2025[[#Totals],[Total]])</f>
        <v>1.0509954851602398E-3</v>
      </c>
      <c r="K59" s="66"/>
      <c r="L59" s="79"/>
      <c r="M59" s="79"/>
      <c r="N59" s="79"/>
      <c r="O59" s="13"/>
      <c r="P59" s="35"/>
      <c r="Q59" s="35"/>
      <c r="R59" s="79"/>
      <c r="S59" s="79"/>
      <c r="T59" s="79"/>
      <c r="U59" s="78"/>
    </row>
    <row r="60" spans="1:21" customFormat="1" ht="15" customHeight="1">
      <c r="A60" s="43" t="s">
        <v>360</v>
      </c>
      <c r="B60" s="22">
        <v>142</v>
      </c>
      <c r="C60" s="22">
        <v>185</v>
      </c>
      <c r="D60" s="22">
        <v>137</v>
      </c>
      <c r="E60" s="22">
        <v>119</v>
      </c>
      <c r="F60" s="21">
        <f>SUM(Unidades_2025[[#This Row],[1° trim 2025]:[4° trim 2025]])</f>
        <v>583</v>
      </c>
      <c r="G60" s="21">
        <f>AVERAGE(Unidades_2025[[#This Row],[1° trim 2025]:[4° trim 2025]])</f>
        <v>145.75</v>
      </c>
      <c r="H60" s="159">
        <f>(Unidades_2025[[#This Row],[Total]]/Unidades_2025[[#Totals],[Total]])</f>
        <v>8.6300051809636586E-3</v>
      </c>
      <c r="K60" s="66"/>
      <c r="L60" s="79"/>
      <c r="M60" s="79"/>
      <c r="N60" s="79"/>
      <c r="O60" s="13"/>
      <c r="P60" s="35"/>
      <c r="Q60" s="35"/>
      <c r="R60" s="79"/>
      <c r="S60" s="79"/>
      <c r="T60" s="79"/>
      <c r="U60" s="78"/>
    </row>
    <row r="61" spans="1:21" customFormat="1" ht="15" customHeight="1">
      <c r="A61" s="43" t="s">
        <v>361</v>
      </c>
      <c r="B61" s="22">
        <v>222</v>
      </c>
      <c r="C61" s="22">
        <v>187</v>
      </c>
      <c r="D61" s="22">
        <v>180</v>
      </c>
      <c r="E61" s="22">
        <v>101</v>
      </c>
      <c r="F61" s="21">
        <f>SUM(Unidades_2025[[#This Row],[1° trim 2025]:[4° trim 2025]])</f>
        <v>690</v>
      </c>
      <c r="G61" s="21">
        <f>AVERAGE(Unidades_2025[[#This Row],[1° trim 2025]:[4° trim 2025]])</f>
        <v>172.5</v>
      </c>
      <c r="H61" s="159">
        <f>(Unidades_2025[[#This Row],[Total]]/Unidades_2025[[#Totals],[Total]])</f>
        <v>1.0213899785360078E-2</v>
      </c>
      <c r="K61" s="66"/>
      <c r="L61" s="79"/>
      <c r="M61" s="79"/>
      <c r="N61" s="79"/>
      <c r="O61" s="13"/>
      <c r="P61" s="35"/>
      <c r="Q61" s="35"/>
      <c r="R61" s="79"/>
      <c r="S61" s="79"/>
      <c r="T61" s="79"/>
      <c r="U61" s="78"/>
    </row>
    <row r="62" spans="1:21" customFormat="1" ht="15" customHeight="1">
      <c r="A62" s="43" t="s">
        <v>362</v>
      </c>
      <c r="B62" s="22">
        <v>165</v>
      </c>
      <c r="C62" s="22">
        <v>156</v>
      </c>
      <c r="D62" s="22">
        <v>125</v>
      </c>
      <c r="E62" s="22">
        <v>109</v>
      </c>
      <c r="F62" s="21">
        <f>SUM(Unidades_2025[[#This Row],[1° trim 2025]:[4° trim 2025]])</f>
        <v>555</v>
      </c>
      <c r="G62" s="21">
        <f>AVERAGE(Unidades_2025[[#This Row],[1° trim 2025]:[4° trim 2025]])</f>
        <v>138.75</v>
      </c>
      <c r="H62" s="159">
        <f>(Unidades_2025[[#This Row],[Total]]/Unidades_2025[[#Totals],[Total]])</f>
        <v>8.2155280882244101E-3</v>
      </c>
      <c r="K62" s="66"/>
      <c r="L62" s="79"/>
      <c r="M62" s="79"/>
      <c r="N62" s="79"/>
      <c r="O62" s="13"/>
      <c r="P62" s="35"/>
      <c r="Q62" s="35"/>
      <c r="R62" s="79"/>
      <c r="S62" s="79"/>
      <c r="T62" s="79"/>
      <c r="U62" s="78"/>
    </row>
    <row r="63" spans="1:21" customFormat="1" ht="15" customHeight="1">
      <c r="A63" s="43" t="s">
        <v>363</v>
      </c>
      <c r="B63" s="22">
        <v>149</v>
      </c>
      <c r="C63" s="22">
        <v>127</v>
      </c>
      <c r="D63" s="22">
        <v>146</v>
      </c>
      <c r="E63" s="22">
        <v>143</v>
      </c>
      <c r="F63" s="21">
        <f>SUM(Unidades_2025[[#This Row],[1° trim 2025]:[4° trim 2025]])</f>
        <v>565</v>
      </c>
      <c r="G63" s="21">
        <f>AVERAGE(Unidades_2025[[#This Row],[1° trim 2025]:[4° trim 2025]])</f>
        <v>141.25</v>
      </c>
      <c r="H63" s="159">
        <f>(Unidades_2025[[#This Row],[Total]]/Unidades_2025[[#Totals],[Total]])</f>
        <v>8.3635556213455704E-3</v>
      </c>
      <c r="K63" s="66"/>
      <c r="L63" s="79"/>
      <c r="M63" s="79"/>
      <c r="N63" s="79"/>
      <c r="O63" s="13"/>
      <c r="P63" s="35"/>
      <c r="Q63" s="35"/>
      <c r="R63" s="79"/>
      <c r="S63" s="79"/>
      <c r="T63" s="79"/>
      <c r="U63" s="78"/>
    </row>
    <row r="64" spans="1:21" customFormat="1" ht="15" customHeight="1">
      <c r="A64" s="43" t="s">
        <v>364</v>
      </c>
      <c r="B64" s="22">
        <v>104</v>
      </c>
      <c r="C64" s="22">
        <v>85</v>
      </c>
      <c r="D64" s="22">
        <v>61</v>
      </c>
      <c r="E64" s="22">
        <v>46</v>
      </c>
      <c r="F64" s="21">
        <f>SUM(Unidades_2025[[#This Row],[1° trim 2025]:[4° trim 2025]])</f>
        <v>296</v>
      </c>
      <c r="G64" s="21">
        <f>AVERAGE(Unidades_2025[[#This Row],[1° trim 2025]:[4° trim 2025]])</f>
        <v>74</v>
      </c>
      <c r="H64" s="159">
        <f>(Unidades_2025[[#This Row],[Total]]/Unidades_2025[[#Totals],[Total]])</f>
        <v>4.3816149803863518E-3</v>
      </c>
      <c r="K64" s="66"/>
      <c r="L64" s="79"/>
      <c r="M64" s="79"/>
      <c r="N64" s="79"/>
      <c r="O64" s="13"/>
      <c r="P64" s="35"/>
      <c r="Q64" s="35"/>
      <c r="R64" s="79"/>
      <c r="S64" s="79"/>
      <c r="T64" s="79"/>
      <c r="U64" s="78"/>
    </row>
    <row r="65" spans="1:21" customFormat="1" ht="15.75" customHeight="1">
      <c r="A65" s="43" t="s">
        <v>365</v>
      </c>
      <c r="B65" s="22">
        <v>57</v>
      </c>
      <c r="C65" s="22">
        <v>55</v>
      </c>
      <c r="D65" s="22">
        <v>55</v>
      </c>
      <c r="E65" s="22">
        <v>39</v>
      </c>
      <c r="F65" s="21">
        <f>SUM(Unidades_2025[[#This Row],[1° trim 2025]:[4° trim 2025]])</f>
        <v>206</v>
      </c>
      <c r="G65" s="21">
        <f>AVERAGE(Unidades_2025[[#This Row],[1° trim 2025]:[4° trim 2025]])</f>
        <v>51.5</v>
      </c>
      <c r="H65" s="159">
        <f>(Unidades_2025[[#This Row],[Total]]/Unidades_2025[[#Totals],[Total]])</f>
        <v>3.049367182295907E-3</v>
      </c>
      <c r="K65" s="66"/>
      <c r="L65" s="79"/>
      <c r="M65" s="79"/>
      <c r="N65" s="79"/>
      <c r="O65" s="13"/>
      <c r="P65" s="35"/>
      <c r="Q65" s="35"/>
      <c r="R65" s="79"/>
      <c r="S65" s="79"/>
      <c r="T65" s="79"/>
      <c r="U65" s="78"/>
    </row>
    <row r="66" spans="1:21" customFormat="1" ht="15.75" customHeight="1">
      <c r="A66" s="43" t="s">
        <v>366</v>
      </c>
      <c r="B66" s="22">
        <v>46</v>
      </c>
      <c r="C66" s="22">
        <v>45</v>
      </c>
      <c r="D66" s="22">
        <v>36</v>
      </c>
      <c r="E66" s="22">
        <v>37</v>
      </c>
      <c r="F66" s="21">
        <f>SUM(Unidades_2025[[#This Row],[1° trim 2025]:[4° trim 2025]])</f>
        <v>164</v>
      </c>
      <c r="G66" s="21">
        <f>AVERAGE(Unidades_2025[[#This Row],[1° trim 2025]:[4° trim 2025]])</f>
        <v>41</v>
      </c>
      <c r="H66" s="159">
        <f>(Unidades_2025[[#This Row],[Total]]/Unidades_2025[[#Totals],[Total]])</f>
        <v>2.427651543187033E-3</v>
      </c>
      <c r="K66" s="66"/>
      <c r="L66" s="79"/>
      <c r="M66" s="79"/>
      <c r="N66" s="79"/>
      <c r="O66" s="13"/>
      <c r="P66" s="35"/>
      <c r="Q66" s="35"/>
      <c r="R66" s="79"/>
      <c r="S66" s="79"/>
      <c r="T66" s="79"/>
      <c r="U66" s="78"/>
    </row>
    <row r="67" spans="1:21" customFormat="1" ht="15" customHeight="1">
      <c r="A67" s="43" t="s">
        <v>367</v>
      </c>
      <c r="B67" s="22">
        <v>288</v>
      </c>
      <c r="C67" s="22">
        <v>385</v>
      </c>
      <c r="D67" s="22">
        <v>285</v>
      </c>
      <c r="E67" s="22">
        <v>242</v>
      </c>
      <c r="F67" s="21">
        <f>SUM(Unidades_2025[[#This Row],[1° trim 2025]:[4° trim 2025]])</f>
        <v>1200</v>
      </c>
      <c r="G67" s="21">
        <f>AVERAGE(Unidades_2025[[#This Row],[1° trim 2025]:[4° trim 2025]])</f>
        <v>300</v>
      </c>
      <c r="H67" s="159">
        <f>(Unidades_2025[[#This Row],[Total]]/Unidades_2025[[#Totals],[Total]])</f>
        <v>1.7763303974539263E-2</v>
      </c>
      <c r="K67" s="66"/>
      <c r="L67" s="78"/>
      <c r="M67" s="79"/>
      <c r="N67" s="79"/>
      <c r="O67" s="13"/>
      <c r="P67" s="35"/>
      <c r="Q67" s="35"/>
      <c r="R67" s="79"/>
      <c r="S67" s="79"/>
      <c r="T67" s="79"/>
      <c r="U67" s="78"/>
    </row>
    <row r="68" spans="1:21" customFormat="1" ht="15">
      <c r="A68" s="43" t="s">
        <v>368</v>
      </c>
      <c r="B68" s="22">
        <v>116</v>
      </c>
      <c r="C68" s="22">
        <v>112</v>
      </c>
      <c r="D68" s="22">
        <v>96</v>
      </c>
      <c r="E68" s="22">
        <v>90</v>
      </c>
      <c r="F68" s="21">
        <f>SUM(Unidades_2025[[#This Row],[1° trim 2025]:[4° trim 2025]])</f>
        <v>414</v>
      </c>
      <c r="G68" s="21">
        <f>AVERAGE(Unidades_2025[[#This Row],[1° trim 2025]:[4° trim 2025]])</f>
        <v>103.5</v>
      </c>
      <c r="H68" s="159">
        <f>(Unidades_2025[[#This Row],[Total]]/Unidades_2025[[#Totals],[Total]])</f>
        <v>6.1283398712160464E-3</v>
      </c>
      <c r="K68" s="66"/>
      <c r="L68" s="78"/>
      <c r="M68" s="79"/>
      <c r="N68" s="79"/>
      <c r="O68" s="13"/>
      <c r="P68" s="35"/>
      <c r="Q68" s="35"/>
      <c r="R68" s="79"/>
      <c r="S68" s="79"/>
      <c r="T68" s="79"/>
      <c r="U68" s="78"/>
    </row>
    <row r="69" spans="1:21" customFormat="1" ht="15">
      <c r="A69" s="43" t="s">
        <v>369</v>
      </c>
      <c r="B69" s="22">
        <v>148</v>
      </c>
      <c r="C69" s="22">
        <v>128</v>
      </c>
      <c r="D69" s="22">
        <v>116</v>
      </c>
      <c r="E69" s="22">
        <v>124</v>
      </c>
      <c r="F69" s="21">
        <f>SUM(Unidades_2025[[#This Row],[1° trim 2025]:[4° trim 2025]])</f>
        <v>516</v>
      </c>
      <c r="G69" s="21">
        <f>AVERAGE(Unidades_2025[[#This Row],[1° trim 2025]:[4° trim 2025]])</f>
        <v>129</v>
      </c>
      <c r="H69" s="159">
        <f>(Unidades_2025[[#This Row],[Total]]/Unidades_2025[[#Totals],[Total]])</f>
        <v>7.6382207090518834E-3</v>
      </c>
      <c r="K69" s="66"/>
      <c r="L69" s="78"/>
      <c r="M69" s="79"/>
      <c r="N69" s="79"/>
      <c r="O69" s="13"/>
      <c r="P69" s="35"/>
      <c r="Q69" s="35"/>
      <c r="R69" s="79"/>
      <c r="S69" s="79"/>
      <c r="T69" s="79"/>
      <c r="U69" s="78"/>
    </row>
    <row r="70" spans="1:21" customFormat="1" ht="15">
      <c r="A70" s="43" t="s">
        <v>370</v>
      </c>
      <c r="B70" s="22">
        <v>76</v>
      </c>
      <c r="C70" s="22">
        <v>61</v>
      </c>
      <c r="D70" s="22">
        <v>74</v>
      </c>
      <c r="E70" s="22">
        <v>56</v>
      </c>
      <c r="F70" s="21">
        <f>SUM(Unidades_2025[[#This Row],[1° trim 2025]:[4° trim 2025]])</f>
        <v>267</v>
      </c>
      <c r="G70" s="21">
        <f>AVERAGE(Unidades_2025[[#This Row],[1° trim 2025]:[4° trim 2025]])</f>
        <v>66.75</v>
      </c>
      <c r="H70" s="159">
        <f>(Unidades_2025[[#This Row],[Total]]/Unidades_2025[[#Totals],[Total]])</f>
        <v>3.9523351343349862E-3</v>
      </c>
      <c r="K70" s="66"/>
      <c r="L70" s="78"/>
      <c r="M70" s="79"/>
      <c r="N70" s="79"/>
      <c r="O70" s="13"/>
      <c r="P70" s="35"/>
      <c r="Q70" s="35"/>
      <c r="R70" s="79"/>
      <c r="S70" s="79"/>
      <c r="T70" s="79"/>
      <c r="U70" s="78"/>
    </row>
    <row r="71" spans="1:21">
      <c r="A71" s="158" t="s">
        <v>420</v>
      </c>
      <c r="B71" s="122">
        <f>SUBTOTAL(109,Unidades_2025[1° trim 2025])</f>
        <v>19179</v>
      </c>
      <c r="C71" s="122">
        <f>SUBTOTAL(109,Unidades_2025[2° trim 2025])</f>
        <v>17099</v>
      </c>
      <c r="D71" s="122">
        <f>SUBTOTAL(109,Unidades_2025[3° trim 2025])</f>
        <v>16434</v>
      </c>
      <c r="E71" s="122">
        <f>SUBTOTAL(109,Unidades_2025[4° trim 2025])</f>
        <v>14843</v>
      </c>
      <c r="F71" s="122">
        <f>SUBTOTAL(109,Unidades_2025[Total])</f>
        <v>67555</v>
      </c>
      <c r="G71" s="122">
        <f>SUBTOTAL(109,Unidades_2025[Média])</f>
        <v>16888.75</v>
      </c>
      <c r="H71" s="160">
        <f>SUBTOTAL(109,Unidades_2025[% Total])</f>
        <v>0.99999999999999978</v>
      </c>
    </row>
    <row r="72" spans="1:21">
      <c r="A72" s="80"/>
    </row>
    <row r="73" spans="1:21" ht="51.75" customHeight="1">
      <c r="A73" s="74" t="s">
        <v>315</v>
      </c>
      <c r="B73" s="81"/>
    </row>
    <row r="74" spans="1:21" ht="17.25" customHeight="1">
      <c r="A74" s="75" t="s">
        <v>55</v>
      </c>
      <c r="B74" s="81"/>
    </row>
    <row r="75" spans="1:21" ht="17.25" customHeight="1">
      <c r="A75" s="75"/>
      <c r="B75" s="81"/>
    </row>
    <row r="76" spans="1:21" ht="46.5" customHeight="1">
      <c r="A76" s="82" t="s">
        <v>411</v>
      </c>
      <c r="B76" s="83"/>
      <c r="C76" s="83"/>
      <c r="D76" s="83"/>
      <c r="E76" s="83"/>
    </row>
    <row r="77" spans="1:21" ht="14.25" customHeight="1">
      <c r="A77" s="83"/>
      <c r="B77" s="83"/>
      <c r="C77" s="83"/>
      <c r="D77" s="83"/>
      <c r="E77" s="83"/>
    </row>
    <row r="78" spans="1:21" ht="14.25" customHeight="1">
      <c r="A78" s="83"/>
      <c r="B78" s="83"/>
      <c r="C78" s="83"/>
      <c r="D78" s="83"/>
      <c r="E78" s="83"/>
    </row>
    <row r="79" spans="1:21" ht="15">
      <c r="A79" s="83"/>
      <c r="B79" s="83"/>
      <c r="C79" s="83"/>
      <c r="D79" s="83"/>
      <c r="E79" s="83"/>
    </row>
    <row r="80" spans="1:21" ht="15">
      <c r="A80" s="83"/>
      <c r="B80" s="83"/>
      <c r="C80" s="83"/>
      <c r="D80" s="83"/>
      <c r="E80" s="83"/>
    </row>
  </sheetData>
  <hyperlinks>
    <hyperlink ref="A74" r:id="rId1" xr:uid="{00000000-0004-0000-0500-000000000000}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46"/>
  <sheetViews>
    <sheetView showGridLines="0" workbookViewId="0">
      <selection activeCell="O5" sqref="O5"/>
    </sheetView>
  </sheetViews>
  <sheetFormatPr defaultColWidth="5.5703125" defaultRowHeight="20.100000000000001" customHeight="1"/>
  <cols>
    <col min="1" max="1" width="5.5703125" style="35" customWidth="1"/>
    <col min="2" max="2" width="47.7109375" style="35" customWidth="1"/>
    <col min="3" max="3" width="11.28515625" style="35" customWidth="1"/>
    <col min="4" max="4" width="11.42578125" style="13" customWidth="1"/>
    <col min="5" max="5" width="11" style="35" customWidth="1"/>
    <col min="6" max="6" width="11.5703125" style="38" customWidth="1"/>
    <col min="7" max="7" width="8.28515625" style="35" customWidth="1"/>
    <col min="8" max="8" width="11.7109375" style="38" bestFit="1" customWidth="1"/>
    <col min="9" max="9" width="26" style="35" customWidth="1"/>
    <col min="10" max="10" width="14.5703125" style="35" customWidth="1"/>
    <col min="11" max="11" width="14.7109375" style="35" customWidth="1"/>
    <col min="12" max="12" width="14.5703125" style="35" customWidth="1"/>
    <col min="13" max="13" width="15.7109375" style="35" customWidth="1"/>
    <col min="14" max="14" width="6.85546875" style="35" customWidth="1"/>
    <col min="15" max="15" width="6.7109375" style="35" bestFit="1" customWidth="1"/>
    <col min="16" max="16" width="7.140625" style="35" bestFit="1" customWidth="1"/>
    <col min="17" max="17" width="15.85546875" style="35" bestFit="1" customWidth="1"/>
    <col min="18" max="216" width="9.140625" style="35" customWidth="1"/>
    <col min="217" max="217" width="58.28515625" style="35" customWidth="1"/>
    <col min="218" max="218" width="3.7109375" style="35" bestFit="1" customWidth="1"/>
    <col min="219" max="219" width="5.5703125" style="35" bestFit="1" customWidth="1"/>
    <col min="220" max="220" width="5.5703125" style="35" customWidth="1"/>
    <col min="221" max="16384" width="5.5703125" style="35"/>
  </cols>
  <sheetData>
    <row r="1" spans="2:20" ht="20.100000000000001" customHeight="1">
      <c r="B1" s="36" t="s">
        <v>0</v>
      </c>
      <c r="C1" s="36"/>
      <c r="D1" s="37"/>
      <c r="E1" s="36"/>
      <c r="I1" s="206">
        <f>Subprefeituras_2025[[#Totals],[4° trim 2025]]</f>
        <v>3056</v>
      </c>
    </row>
    <row r="2" spans="2:20" ht="20.100000000000001" customHeight="1">
      <c r="B2" s="1" t="s">
        <v>1</v>
      </c>
      <c r="C2" s="1"/>
      <c r="D2" s="19"/>
      <c r="E2" s="1"/>
    </row>
    <row r="3" spans="2:20" ht="20.100000000000001" customHeight="1">
      <c r="B3" s="1" t="s">
        <v>371</v>
      </c>
      <c r="C3" s="1"/>
      <c r="D3" s="19"/>
      <c r="E3" s="1"/>
      <c r="T3" s="40"/>
    </row>
    <row r="4" spans="2:20" ht="20.100000000000001" customHeight="1">
      <c r="F4" s="35"/>
      <c r="G4" s="38"/>
      <c r="H4" s="35"/>
      <c r="I4" s="38"/>
      <c r="T4" s="40"/>
    </row>
    <row r="5" spans="2:20" ht="60.75" customHeight="1">
      <c r="B5" s="141" t="s">
        <v>372</v>
      </c>
      <c r="C5" s="124" t="s">
        <v>26</v>
      </c>
      <c r="D5" s="124" t="s">
        <v>27</v>
      </c>
      <c r="E5" s="124" t="s">
        <v>28</v>
      </c>
      <c r="F5" s="124" t="s">
        <v>29</v>
      </c>
      <c r="G5" s="125" t="s">
        <v>8</v>
      </c>
      <c r="H5" s="125" t="s">
        <v>9</v>
      </c>
      <c r="I5" s="188" t="s">
        <v>421</v>
      </c>
      <c r="J5" s="124" t="s">
        <v>415</v>
      </c>
      <c r="K5" s="124" t="s">
        <v>416</v>
      </c>
      <c r="L5" s="124" t="s">
        <v>417</v>
      </c>
      <c r="M5" s="124" t="s">
        <v>418</v>
      </c>
    </row>
    <row r="6" spans="2:20" ht="20.100000000000001" customHeight="1">
      <c r="B6" s="35" t="s">
        <v>374</v>
      </c>
      <c r="C6" s="117">
        <v>288</v>
      </c>
      <c r="D6" s="117">
        <v>385</v>
      </c>
      <c r="E6" s="117">
        <v>285</v>
      </c>
      <c r="F6" s="200">
        <v>242</v>
      </c>
      <c r="G6" s="117">
        <f>SUM(C6:F6)</f>
        <v>1200</v>
      </c>
      <c r="H6" s="161">
        <f>AVERAGE(C6:F6)</f>
        <v>300</v>
      </c>
      <c r="I6" s="154">
        <f>(F6*100)/$I$1</f>
        <v>7.9188481675392675</v>
      </c>
      <c r="J6" s="142">
        <f>((Subprefeituras_10mais[[#This Row],[2° trim 2025]]-Subprefeituras_10mais[[#This Row],[1° trim 2025]])/Subprefeituras_10mais[[#This Row],[1° trim 2025]])</f>
        <v>0.33680555555555558</v>
      </c>
      <c r="K6" s="143">
        <f>((Subprefeituras_10mais[[#This Row],[3° trim 2025]]-Subprefeituras_10mais[[#This Row],[2° trim 2025]])/Subprefeituras_10mais[[#This Row],[2° trim 2025]])</f>
        <v>-0.25974025974025972</v>
      </c>
      <c r="L6" s="143">
        <f>((Subprefeituras_10mais[[#This Row],[4° trim 2025]]-Subprefeituras_10mais[[#This Row],[3° trim 2025]])/Subprefeituras_10mais[[#This Row],[3° trim 2025]])</f>
        <v>-0.15087719298245614</v>
      </c>
      <c r="M6" s="143">
        <f>((Subprefeituras_10mais[[#This Row],[4° trim 2025]]-Subprefeituras_10mais[[#This Row],[1° trim 2025]])/Subprefeituras_10mais[[#This Row],[1° trim 2025]])</f>
        <v>-0.15972222222222221</v>
      </c>
    </row>
    <row r="7" spans="2:20" ht="20.100000000000001" customHeight="1">
      <c r="B7" s="35" t="s">
        <v>375</v>
      </c>
      <c r="C7" s="117">
        <v>193</v>
      </c>
      <c r="D7" s="117">
        <v>224</v>
      </c>
      <c r="E7" s="117">
        <v>194</v>
      </c>
      <c r="F7" s="200">
        <v>233</v>
      </c>
      <c r="G7" s="117">
        <f>SUM(C7:F7)</f>
        <v>844</v>
      </c>
      <c r="H7" s="161">
        <f>AVERAGE(C7:F7)</f>
        <v>211</v>
      </c>
      <c r="I7" s="154">
        <f>(F7*100)/$I$1</f>
        <v>7.6243455497382202</v>
      </c>
      <c r="J7" s="142">
        <f>((Subprefeituras_10mais[[#This Row],[2° trim 2025]]-Subprefeituras_10mais[[#This Row],[1° trim 2025]])/Subprefeituras_10mais[[#This Row],[1° trim 2025]])</f>
        <v>0.16062176165803108</v>
      </c>
      <c r="K7" s="143">
        <f>((Subprefeituras_10mais[[#This Row],[3° trim 2025]]-Subprefeituras_10mais[[#This Row],[2° trim 2025]])/Subprefeituras_10mais[[#This Row],[2° trim 2025]])</f>
        <v>-0.13392857142857142</v>
      </c>
      <c r="L7" s="143">
        <f>((Subprefeituras_10mais[[#This Row],[4° trim 2025]]-Subprefeituras_10mais[[#This Row],[3° trim 2025]])/Subprefeituras_10mais[[#This Row],[3° trim 2025]])</f>
        <v>0.20103092783505155</v>
      </c>
      <c r="M7" s="143">
        <f>((Subprefeituras_10mais[[#This Row],[4° trim 2025]]-Subprefeituras_10mais[[#This Row],[1° trim 2025]])/Subprefeituras_10mais[[#This Row],[1° trim 2025]])</f>
        <v>0.20725388601036268</v>
      </c>
    </row>
    <row r="8" spans="2:20" ht="20.100000000000001" customHeight="1">
      <c r="B8" s="35" t="s">
        <v>373</v>
      </c>
      <c r="C8" s="117">
        <v>213</v>
      </c>
      <c r="D8" s="117">
        <v>192</v>
      </c>
      <c r="E8" s="117">
        <v>312</v>
      </c>
      <c r="F8" s="200">
        <v>217</v>
      </c>
      <c r="G8" s="117">
        <f>SUM(C8:F8)</f>
        <v>934</v>
      </c>
      <c r="H8" s="161">
        <f>AVERAGE(C8:F8)</f>
        <v>233.5</v>
      </c>
      <c r="I8" s="154">
        <f>(F8*100)/$I$1</f>
        <v>7.1007853403141361</v>
      </c>
      <c r="J8" s="142">
        <f>((Subprefeituras_10mais[[#This Row],[2° trim 2025]]-Subprefeituras_10mais[[#This Row],[1° trim 2025]])/Subprefeituras_10mais[[#This Row],[1° trim 2025]])</f>
        <v>-9.8591549295774641E-2</v>
      </c>
      <c r="K8" s="142">
        <f>((Subprefeituras_10mais[[#This Row],[3° trim 2025]]-Subprefeituras_10mais[[#This Row],[2° trim 2025]])/Subprefeituras_10mais[[#This Row],[2° trim 2025]])</f>
        <v>0.625</v>
      </c>
      <c r="L8" s="142">
        <f>((Subprefeituras_10mais[[#This Row],[4° trim 2025]]-Subprefeituras_10mais[[#This Row],[3° trim 2025]])/Subprefeituras_10mais[[#This Row],[3° trim 2025]])</f>
        <v>-0.30448717948717946</v>
      </c>
      <c r="M8" s="142">
        <f>((Subprefeituras_10mais[[#This Row],[4° trim 2025]]-Subprefeituras_10mais[[#This Row],[1° trim 2025]])/Subprefeituras_10mais[[#This Row],[1° trim 2025]])</f>
        <v>1.8779342723004695E-2</v>
      </c>
    </row>
    <row r="9" spans="2:20" ht="20.100000000000001" customHeight="1">
      <c r="B9" s="35" t="s">
        <v>377</v>
      </c>
      <c r="C9" s="117">
        <v>230</v>
      </c>
      <c r="D9" s="117">
        <v>282</v>
      </c>
      <c r="E9" s="117">
        <v>168</v>
      </c>
      <c r="F9" s="200">
        <v>212</v>
      </c>
      <c r="G9" s="117">
        <f>SUM(C9:F9)</f>
        <v>892</v>
      </c>
      <c r="H9" s="161">
        <f>AVERAGE(C9:F9)</f>
        <v>223</v>
      </c>
      <c r="I9" s="154">
        <f>(F9*100)/$I$1</f>
        <v>6.9371727748691097</v>
      </c>
      <c r="J9" s="142">
        <f>((Subprefeituras_10mais[[#This Row],[2° trim 2025]]-Subprefeituras_10mais[[#This Row],[1° trim 2025]])/Subprefeituras_10mais[[#This Row],[1° trim 2025]])</f>
        <v>0.22608695652173913</v>
      </c>
      <c r="K9" s="143">
        <f>((Subprefeituras_10mais[[#This Row],[3° trim 2025]]-Subprefeituras_10mais[[#This Row],[2° trim 2025]])/Subprefeituras_10mais[[#This Row],[2° trim 2025]])</f>
        <v>-0.40425531914893614</v>
      </c>
      <c r="L9" s="143">
        <f>((Subprefeituras_10mais[[#This Row],[4° trim 2025]]-Subprefeituras_10mais[[#This Row],[3° trim 2025]])/Subprefeituras_10mais[[#This Row],[3° trim 2025]])</f>
        <v>0.26190476190476192</v>
      </c>
      <c r="M9" s="143">
        <f>((Subprefeituras_10mais[[#This Row],[4° trim 2025]]-Subprefeituras_10mais[[#This Row],[1° trim 2025]])/Subprefeituras_10mais[[#This Row],[1° trim 2025]])</f>
        <v>-7.8260869565217397E-2</v>
      </c>
    </row>
    <row r="10" spans="2:20" ht="20.100000000000001" customHeight="1">
      <c r="B10" s="35" t="s">
        <v>378</v>
      </c>
      <c r="C10" s="117">
        <v>192</v>
      </c>
      <c r="D10" s="117">
        <v>165</v>
      </c>
      <c r="E10" s="117">
        <v>168</v>
      </c>
      <c r="F10" s="200">
        <v>165</v>
      </c>
      <c r="G10" s="117">
        <f>SUM(C10:F10)</f>
        <v>690</v>
      </c>
      <c r="H10" s="161">
        <f>AVERAGE(C10:F10)</f>
        <v>172.5</v>
      </c>
      <c r="I10" s="154">
        <f>(F10*100)/$I$1</f>
        <v>5.3992146596858639</v>
      </c>
      <c r="J10" s="142">
        <f>((Subprefeituras_10mais[[#This Row],[2° trim 2025]]-Subprefeituras_10mais[[#This Row],[1° trim 2025]])/Subprefeituras_10mais[[#This Row],[1° trim 2025]])</f>
        <v>-0.140625</v>
      </c>
      <c r="K10" s="143">
        <f>((Subprefeituras_10mais[[#This Row],[3° trim 2025]]-Subprefeituras_10mais[[#This Row],[2° trim 2025]])/Subprefeituras_10mais[[#This Row],[2° trim 2025]])</f>
        <v>1.8181818181818181E-2</v>
      </c>
      <c r="L10" s="143">
        <f>((Subprefeituras_10mais[[#This Row],[4° trim 2025]]-Subprefeituras_10mais[[#This Row],[3° trim 2025]])/Subprefeituras_10mais[[#This Row],[3° trim 2025]])</f>
        <v>-1.7857142857142856E-2</v>
      </c>
      <c r="M10" s="143">
        <f>((Subprefeituras_10mais[[#This Row],[4° trim 2025]]-Subprefeituras_10mais[[#This Row],[1° trim 2025]])/Subprefeituras_10mais[[#This Row],[1° trim 2025]])</f>
        <v>-0.140625</v>
      </c>
    </row>
    <row r="11" spans="2:20" ht="20.100000000000001" customHeight="1">
      <c r="B11" s="35" t="s">
        <v>379</v>
      </c>
      <c r="C11" s="117">
        <v>168</v>
      </c>
      <c r="D11" s="117">
        <v>177</v>
      </c>
      <c r="E11" s="117">
        <v>161</v>
      </c>
      <c r="F11" s="200">
        <v>123</v>
      </c>
      <c r="G11" s="117">
        <f>SUM(C11:F11)</f>
        <v>629</v>
      </c>
      <c r="H11" s="161">
        <f>AVERAGE(C11:F11)</f>
        <v>157.25</v>
      </c>
      <c r="I11" s="154">
        <f>(F11*100)/$I$1</f>
        <v>4.0248691099476437</v>
      </c>
      <c r="J11" s="142">
        <f>((Subprefeituras_10mais[[#This Row],[2° trim 2025]]-Subprefeituras_10mais[[#This Row],[1° trim 2025]])/Subprefeituras_10mais[[#This Row],[1° trim 2025]])</f>
        <v>5.3571428571428568E-2</v>
      </c>
      <c r="K11" s="143">
        <f>((Subprefeituras_10mais[[#This Row],[3° trim 2025]]-Subprefeituras_10mais[[#This Row],[2° trim 2025]])/Subprefeituras_10mais[[#This Row],[2° trim 2025]])</f>
        <v>-9.03954802259887E-2</v>
      </c>
      <c r="L11" s="143">
        <f>((Subprefeituras_10mais[[#This Row],[4° trim 2025]]-Subprefeituras_10mais[[#This Row],[3° trim 2025]])/Subprefeituras_10mais[[#This Row],[3° trim 2025]])</f>
        <v>-0.2360248447204969</v>
      </c>
      <c r="M11" s="143">
        <f>((Subprefeituras_10mais[[#This Row],[4° trim 2025]]-Subprefeituras_10mais[[#This Row],[1° trim 2025]])/Subprefeituras_10mais[[#This Row],[1° trim 2025]])</f>
        <v>-0.26785714285714285</v>
      </c>
    </row>
    <row r="12" spans="2:20" ht="20.100000000000001" customHeight="1">
      <c r="B12" s="35" t="s">
        <v>380</v>
      </c>
      <c r="C12" s="117">
        <v>179</v>
      </c>
      <c r="D12" s="117">
        <v>144</v>
      </c>
      <c r="E12" s="117">
        <v>145</v>
      </c>
      <c r="F12" s="200">
        <v>119</v>
      </c>
      <c r="G12" s="117">
        <f>SUM(C12:F12)</f>
        <v>587</v>
      </c>
      <c r="H12" s="161">
        <f>AVERAGE(C12:F12)</f>
        <v>146.75</v>
      </c>
      <c r="I12" s="154">
        <f>(F12*100)/$I$1</f>
        <v>3.8939790575916229</v>
      </c>
      <c r="J12" s="142">
        <f>((Subprefeituras_10mais[[#This Row],[2° trim 2025]]-Subprefeituras_10mais[[#This Row],[1° trim 2025]])/Subprefeituras_10mais[[#This Row],[1° trim 2025]])</f>
        <v>-0.19553072625698323</v>
      </c>
      <c r="K12" s="143">
        <f>((Subprefeituras_10mais[[#This Row],[3° trim 2025]]-Subprefeituras_10mais[[#This Row],[2° trim 2025]])/Subprefeituras_10mais[[#This Row],[2° trim 2025]])</f>
        <v>6.9444444444444441E-3</v>
      </c>
      <c r="L12" s="143">
        <f>((Subprefeituras_10mais[[#This Row],[4° trim 2025]]-Subprefeituras_10mais[[#This Row],[3° trim 2025]])/Subprefeituras_10mais[[#This Row],[3° trim 2025]])</f>
        <v>-0.1793103448275862</v>
      </c>
      <c r="M12" s="143">
        <f>((Subprefeituras_10mais[[#This Row],[4° trim 2025]]-Subprefeituras_10mais[[#This Row],[1° trim 2025]])/Subprefeituras_10mais[[#This Row],[1° trim 2025]])</f>
        <v>-0.33519553072625696</v>
      </c>
    </row>
    <row r="13" spans="2:20" ht="20.100000000000001" customHeight="1">
      <c r="B13" s="35" t="s">
        <v>382</v>
      </c>
      <c r="C13" s="117">
        <v>142</v>
      </c>
      <c r="D13" s="117">
        <v>185</v>
      </c>
      <c r="E13" s="117">
        <v>137</v>
      </c>
      <c r="F13" s="200">
        <v>119</v>
      </c>
      <c r="G13" s="117">
        <f>SUM(C13:F13)</f>
        <v>583</v>
      </c>
      <c r="H13" s="161">
        <f>AVERAGE(C13:F13)</f>
        <v>145.75</v>
      </c>
      <c r="I13" s="154">
        <f>(F13*100)/$I$1</f>
        <v>3.8939790575916229</v>
      </c>
      <c r="J13" s="142">
        <f>((Subprefeituras_10mais[[#This Row],[2° trim 2025]]-Subprefeituras_10mais[[#This Row],[1° trim 2025]])/Subprefeituras_10mais[[#This Row],[1° trim 2025]])</f>
        <v>0.30281690140845069</v>
      </c>
      <c r="K13" s="143">
        <f>((Subprefeituras_10mais[[#This Row],[3° trim 2025]]-Subprefeituras_10mais[[#This Row],[2° trim 2025]])/Subprefeituras_10mais[[#This Row],[2° trim 2025]])</f>
        <v>-0.25945945945945947</v>
      </c>
      <c r="L13" s="143">
        <f>((Subprefeituras_10mais[[#This Row],[4° trim 2025]]-Subprefeituras_10mais[[#This Row],[3° trim 2025]])/Subprefeituras_10mais[[#This Row],[3° trim 2025]])</f>
        <v>-0.13138686131386862</v>
      </c>
      <c r="M13" s="143">
        <f>((Subprefeituras_10mais[[#This Row],[4° trim 2025]]-Subprefeituras_10mais[[#This Row],[1° trim 2025]])/Subprefeituras_10mais[[#This Row],[1° trim 2025]])</f>
        <v>-0.1619718309859155</v>
      </c>
    </row>
    <row r="14" spans="2:20" ht="20.100000000000001" customHeight="1">
      <c r="B14" s="35" t="s">
        <v>381</v>
      </c>
      <c r="C14" s="117">
        <v>156</v>
      </c>
      <c r="D14" s="117">
        <v>157</v>
      </c>
      <c r="E14" s="117">
        <v>139</v>
      </c>
      <c r="F14" s="200">
        <v>113</v>
      </c>
      <c r="G14" s="117">
        <f>SUM(C14:F14)</f>
        <v>565</v>
      </c>
      <c r="H14" s="161">
        <f>AVERAGE(C14:F14)</f>
        <v>141.25</v>
      </c>
      <c r="I14" s="154">
        <f>(F14*100)/$I$1</f>
        <v>3.6976439790575917</v>
      </c>
      <c r="J14" s="142">
        <f>((Subprefeituras_10mais[[#This Row],[2° trim 2025]]-Subprefeituras_10mais[[#This Row],[1° trim 2025]])/Subprefeituras_10mais[[#This Row],[1° trim 2025]])</f>
        <v>6.41025641025641E-3</v>
      </c>
      <c r="K14" s="143">
        <f>((Subprefeituras_10mais[[#This Row],[3° trim 2025]]-Subprefeituras_10mais[[#This Row],[2° trim 2025]])/Subprefeituras_10mais[[#This Row],[2° trim 2025]])</f>
        <v>-0.11464968152866242</v>
      </c>
      <c r="L14" s="143">
        <f>((Subprefeituras_10mais[[#This Row],[4° trim 2025]]-Subprefeituras_10mais[[#This Row],[3° trim 2025]])/Subprefeituras_10mais[[#This Row],[3° trim 2025]])</f>
        <v>-0.18705035971223022</v>
      </c>
      <c r="M14" s="143">
        <f>((Subprefeituras_10mais[[#This Row],[4° trim 2025]]-Subprefeituras_10mais[[#This Row],[1° trim 2025]])/Subprefeituras_10mais[[#This Row],[1° trim 2025]])</f>
        <v>-0.27564102564102566</v>
      </c>
    </row>
    <row r="15" spans="2:20" ht="20.100000000000001" customHeight="1">
      <c r="B15" s="35" t="s">
        <v>376</v>
      </c>
      <c r="C15" s="117">
        <v>222</v>
      </c>
      <c r="D15" s="117">
        <v>187</v>
      </c>
      <c r="E15" s="117">
        <v>180</v>
      </c>
      <c r="F15" s="200">
        <v>101</v>
      </c>
      <c r="G15" s="117">
        <f>SUM(C15:F15)</f>
        <v>690</v>
      </c>
      <c r="H15" s="161">
        <f>AVERAGE(C15:F15)</f>
        <v>172.5</v>
      </c>
      <c r="I15" s="154">
        <f>(F15*100)/$I$1</f>
        <v>3.3049738219895288</v>
      </c>
      <c r="J15" s="142">
        <f>((Subprefeituras_10mais[[#This Row],[2° trim 2025]]-Subprefeituras_10mais[[#This Row],[1° trim 2025]])/Subprefeituras_10mais[[#This Row],[1° trim 2025]])</f>
        <v>-0.15765765765765766</v>
      </c>
      <c r="K15" s="143">
        <f>((Subprefeituras_10mais[[#This Row],[3° trim 2025]]-Subprefeituras_10mais[[#This Row],[2° trim 2025]])/Subprefeituras_10mais[[#This Row],[2° trim 2025]])</f>
        <v>-3.7433155080213901E-2</v>
      </c>
      <c r="L15" s="143">
        <f>((Subprefeituras_10mais[[#This Row],[4° trim 2025]]-Subprefeituras_10mais[[#This Row],[3° trim 2025]])/Subprefeituras_10mais[[#This Row],[3° trim 2025]])</f>
        <v>-0.43888888888888888</v>
      </c>
      <c r="M15" s="143">
        <f>((Subprefeituras_10mais[[#This Row],[4° trim 2025]]-Subprefeituras_10mais[[#This Row],[1° trim 2025]])/Subprefeituras_10mais[[#This Row],[1° trim 2025]])</f>
        <v>-0.54504504504504503</v>
      </c>
    </row>
    <row r="16" spans="2:20" s="39" customFormat="1" ht="20.100000000000001" customHeight="1">
      <c r="B16" s="126" t="s">
        <v>383</v>
      </c>
      <c r="C16" s="162">
        <f>SUBTOTAL(109,Subprefeituras_10mais[1° trim 2025])</f>
        <v>1983</v>
      </c>
      <c r="D16" s="162">
        <f>SUBTOTAL(109,Subprefeituras_10mais[2° trim 2025])</f>
        <v>2098</v>
      </c>
      <c r="E16" s="162">
        <f>SUBTOTAL(109,Subprefeituras_10mais[3° trim 2025])</f>
        <v>1889</v>
      </c>
      <c r="F16" s="162">
        <f>SUBTOTAL(109,Subprefeituras_10mais[4° trim 2025])</f>
        <v>1644</v>
      </c>
      <c r="G16" s="162">
        <f>SUBTOTAL(109,Subprefeituras_10mais[Total])</f>
        <v>7614</v>
      </c>
      <c r="H16" s="162">
        <f>SUBTOTAL(109,Subprefeituras_10mais[Média])</f>
        <v>1903.5</v>
      </c>
      <c r="I16" s="153">
        <f>SUBTOTAL(109,Subprefeituras_10mais[% em relação ao total geral de Sub''s. do 4° trim de 2025 (excetuando-se denúncias)])</f>
        <v>53.795811518324605</v>
      </c>
      <c r="J16" s="155"/>
      <c r="K16" s="155"/>
      <c r="L16" s="155"/>
      <c r="M16" s="155"/>
      <c r="N16" s="40"/>
      <c r="O16" s="40"/>
    </row>
    <row r="17" spans="2:42" ht="20.100000000000001" customHeight="1">
      <c r="B17" s="193" t="s">
        <v>384</v>
      </c>
      <c r="C17" s="91"/>
      <c r="D17" s="107"/>
      <c r="E17" s="91"/>
      <c r="F17" s="91"/>
      <c r="G17" s="91"/>
      <c r="H17" s="107" t="s">
        <v>53</v>
      </c>
      <c r="I17" s="194">
        <f>100-I16</f>
        <v>46.204188481675395</v>
      </c>
      <c r="J17" s="39"/>
      <c r="K17" s="39"/>
      <c r="L17" s="39"/>
      <c r="M17" s="39"/>
      <c r="N17" s="39"/>
      <c r="O17" s="197"/>
      <c r="P17" s="197"/>
      <c r="Q17" s="197"/>
      <c r="R17" s="39"/>
      <c r="S17" s="39"/>
      <c r="T17" s="39"/>
      <c r="U17" s="39"/>
      <c r="V17" s="39"/>
      <c r="W17" s="39"/>
      <c r="X17" s="41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2:42" ht="20.100000000000001" customHeight="1">
      <c r="B18" s="91"/>
      <c r="C18" s="91"/>
      <c r="D18" s="107"/>
      <c r="E18" s="91"/>
      <c r="F18" s="91"/>
      <c r="G18" s="91"/>
      <c r="H18" s="106"/>
      <c r="I18" s="128"/>
      <c r="J18" s="39"/>
      <c r="K18" s="39"/>
      <c r="L18" s="39"/>
      <c r="M18" s="39"/>
      <c r="N18" s="39"/>
      <c r="O18" s="39"/>
      <c r="P18" s="41"/>
      <c r="Q18" s="39"/>
      <c r="R18" s="39"/>
      <c r="S18" s="39"/>
      <c r="T18" s="39"/>
      <c r="U18" s="39"/>
      <c r="V18" s="39"/>
      <c r="W18" s="39"/>
      <c r="X18" s="41"/>
      <c r="Y18" s="39"/>
      <c r="Z18" s="39"/>
      <c r="AA18" s="39"/>
      <c r="AB18" s="39"/>
      <c r="AC18" s="39"/>
      <c r="AD18" s="67"/>
      <c r="AE18" s="68"/>
      <c r="AF18" s="68"/>
      <c r="AG18" s="68"/>
      <c r="AH18" s="68"/>
      <c r="AI18" s="5"/>
      <c r="AJ18" s="5"/>
      <c r="AK18" s="13"/>
      <c r="AL18" s="5"/>
      <c r="AM18" s="5"/>
      <c r="AN18" s="5"/>
      <c r="AO18" s="5"/>
      <c r="AP18" s="31"/>
    </row>
    <row r="19" spans="2:42" ht="20.100000000000001" customHeight="1">
      <c r="B19" s="129"/>
      <c r="C19" s="129"/>
      <c r="D19" s="130"/>
      <c r="E19" s="102"/>
      <c r="F19" s="102"/>
      <c r="G19" s="102"/>
      <c r="H19" s="102"/>
      <c r="I19" s="102"/>
      <c r="J19" s="39"/>
      <c r="K19" s="39"/>
      <c r="L19" s="39"/>
      <c r="M19" s="69"/>
      <c r="N19" s="39"/>
      <c r="O19" s="197"/>
      <c r="P19" s="197"/>
      <c r="Q19" s="197"/>
      <c r="R19" s="39"/>
      <c r="S19" s="39"/>
      <c r="T19" s="39"/>
      <c r="U19" s="39"/>
      <c r="V19" s="39"/>
      <c r="W19" s="39"/>
      <c r="X19" s="41"/>
      <c r="Y19" s="39"/>
      <c r="Z19" s="39"/>
      <c r="AA19" s="39"/>
      <c r="AB19" s="39"/>
      <c r="AC19" s="39"/>
      <c r="AD19" s="67"/>
      <c r="AE19" s="68"/>
      <c r="AF19" s="68"/>
      <c r="AG19" s="68"/>
      <c r="AH19" s="68"/>
      <c r="AI19" s="5"/>
      <c r="AJ19" s="5"/>
      <c r="AK19" s="13"/>
      <c r="AL19" s="5"/>
      <c r="AM19" s="5"/>
      <c r="AN19" s="5"/>
      <c r="AO19" s="5"/>
      <c r="AP19" s="31"/>
    </row>
    <row r="20" spans="2:42" ht="20.100000000000001" customHeight="1">
      <c r="B20" s="104"/>
      <c r="C20" s="105"/>
      <c r="D20" s="106"/>
      <c r="E20" s="91"/>
      <c r="F20" s="131"/>
      <c r="G20" s="91"/>
      <c r="H20" s="91"/>
      <c r="I20" s="91"/>
      <c r="J20" s="39"/>
      <c r="K20" s="39"/>
      <c r="L20" s="39"/>
      <c r="M20" s="39"/>
      <c r="N20" s="39"/>
      <c r="O20" s="39"/>
      <c r="P20" s="41"/>
      <c r="Q20" s="39"/>
      <c r="R20" s="39"/>
      <c r="S20" s="39"/>
      <c r="T20" s="39"/>
      <c r="U20" s="39"/>
      <c r="V20" s="39"/>
      <c r="W20" s="39"/>
      <c r="X20" s="70"/>
      <c r="Y20" s="39"/>
      <c r="Z20" s="39"/>
      <c r="AA20" s="39"/>
      <c r="AB20" s="39"/>
      <c r="AC20" s="39"/>
      <c r="AD20" s="67"/>
      <c r="AE20" s="68"/>
      <c r="AF20" s="68"/>
      <c r="AG20" s="68"/>
      <c r="AH20" s="68"/>
      <c r="AI20" s="5"/>
      <c r="AJ20" s="5"/>
      <c r="AK20" s="13"/>
      <c r="AL20" s="5"/>
      <c r="AM20" s="5"/>
      <c r="AN20" s="5"/>
      <c r="AO20" s="5"/>
      <c r="AP20" s="31"/>
    </row>
    <row r="21" spans="2:42" ht="20.100000000000001" customHeight="1">
      <c r="B21" s="102" t="s">
        <v>376</v>
      </c>
      <c r="C21" s="92">
        <v>3.3049738219895288</v>
      </c>
      <c r="D21" s="91" t="s">
        <v>374</v>
      </c>
      <c r="E21" s="112">
        <v>300</v>
      </c>
      <c r="F21" s="131"/>
      <c r="G21" s="91"/>
      <c r="H21" s="91"/>
      <c r="I21" s="91"/>
      <c r="J21" s="39"/>
      <c r="K21" s="39"/>
      <c r="L21" s="39"/>
      <c r="M21" s="39"/>
      <c r="N21" s="39"/>
      <c r="R21" s="39"/>
      <c r="S21" s="39"/>
      <c r="T21" s="39"/>
      <c r="U21" s="39"/>
      <c r="V21" s="39"/>
      <c r="W21" s="39"/>
      <c r="X21" s="41"/>
      <c r="Y21" s="39"/>
      <c r="Z21" s="39"/>
      <c r="AA21" s="39"/>
      <c r="AB21" s="39"/>
      <c r="AC21" s="39"/>
      <c r="AD21" s="67"/>
      <c r="AE21" s="68"/>
      <c r="AF21" s="68"/>
      <c r="AG21" s="68"/>
      <c r="AH21" s="68"/>
      <c r="AI21" s="5"/>
      <c r="AJ21" s="5"/>
      <c r="AK21" s="13"/>
      <c r="AL21" s="5"/>
      <c r="AM21" s="5"/>
      <c r="AN21" s="5"/>
      <c r="AO21" s="5"/>
      <c r="AP21" s="31"/>
    </row>
    <row r="22" spans="2:42" ht="20.100000000000001" customHeight="1">
      <c r="B22" s="102" t="s">
        <v>381</v>
      </c>
      <c r="C22" s="92">
        <v>3.6976439790575917</v>
      </c>
      <c r="D22" s="91" t="s">
        <v>373</v>
      </c>
      <c r="E22" s="112">
        <v>233.5</v>
      </c>
      <c r="F22" s="102"/>
      <c r="G22" s="102"/>
      <c r="H22" s="102"/>
      <c r="I22" s="102"/>
      <c r="J22" s="39"/>
      <c r="K22" s="39"/>
      <c r="L22" s="39"/>
      <c r="M22" s="39"/>
      <c r="N22" s="39"/>
      <c r="O22" s="197"/>
      <c r="P22" s="197"/>
      <c r="Q22" s="197"/>
      <c r="R22" s="39"/>
      <c r="S22" s="39"/>
      <c r="T22" s="39"/>
      <c r="U22" s="39"/>
      <c r="V22" s="39"/>
      <c r="W22" s="39"/>
      <c r="X22" s="41"/>
      <c r="Y22" s="39"/>
      <c r="Z22" s="39"/>
      <c r="AA22" s="39"/>
      <c r="AB22" s="39"/>
      <c r="AC22" s="39"/>
      <c r="AD22" s="67"/>
      <c r="AE22" s="68"/>
      <c r="AF22" s="68"/>
      <c r="AG22" s="68"/>
      <c r="AH22" s="68"/>
      <c r="AI22" s="5"/>
      <c r="AJ22" s="5"/>
      <c r="AK22" s="13"/>
      <c r="AL22" s="5"/>
      <c r="AM22" s="5"/>
      <c r="AN22" s="5"/>
      <c r="AO22" s="5"/>
      <c r="AP22" s="31"/>
    </row>
    <row r="23" spans="2:42" ht="20.100000000000001" customHeight="1">
      <c r="B23" s="102" t="s">
        <v>380</v>
      </c>
      <c r="C23" s="92">
        <v>3.8939790575916229</v>
      </c>
      <c r="D23" s="91" t="s">
        <v>377</v>
      </c>
      <c r="E23" s="112">
        <v>223</v>
      </c>
      <c r="F23" s="131"/>
      <c r="G23" s="91"/>
      <c r="H23" s="91"/>
      <c r="I23" s="91"/>
      <c r="J23" s="39"/>
      <c r="K23" s="39"/>
      <c r="L23" s="39"/>
      <c r="M23" s="39"/>
      <c r="N23" s="39"/>
      <c r="O23" s="72"/>
      <c r="P23" s="72"/>
      <c r="Q23" s="72"/>
      <c r="R23" s="39"/>
      <c r="S23" s="39"/>
      <c r="T23" s="39"/>
      <c r="U23" s="39"/>
      <c r="V23" s="39"/>
      <c r="W23" s="39"/>
      <c r="X23" s="41"/>
      <c r="Y23" s="39"/>
      <c r="Z23" s="39"/>
      <c r="AA23" s="39"/>
      <c r="AB23" s="39"/>
      <c r="AC23" s="39"/>
      <c r="AD23" s="67"/>
      <c r="AE23" s="68"/>
      <c r="AF23" s="68"/>
      <c r="AG23" s="68"/>
      <c r="AH23" s="68"/>
      <c r="AI23" s="5"/>
      <c r="AJ23" s="5"/>
      <c r="AK23" s="13"/>
      <c r="AL23" s="5"/>
      <c r="AM23" s="5"/>
      <c r="AN23" s="5"/>
      <c r="AO23" s="5"/>
      <c r="AP23" s="31"/>
    </row>
    <row r="24" spans="2:42" ht="20.100000000000001" customHeight="1">
      <c r="B24" s="102" t="s">
        <v>382</v>
      </c>
      <c r="C24" s="92">
        <v>3.8939790575916229</v>
      </c>
      <c r="D24" s="91" t="s">
        <v>375</v>
      </c>
      <c r="E24" s="112">
        <v>211</v>
      </c>
      <c r="F24" s="131"/>
      <c r="G24" s="91"/>
      <c r="H24" s="91"/>
      <c r="I24" s="91"/>
      <c r="J24" s="39"/>
      <c r="K24" s="39"/>
      <c r="L24" s="39"/>
      <c r="M24" s="39"/>
      <c r="N24" s="39"/>
      <c r="O24" s="72"/>
      <c r="P24" s="72"/>
      <c r="Q24" s="72"/>
      <c r="R24" s="39"/>
      <c r="S24" s="39"/>
      <c r="T24" s="39"/>
      <c r="U24" s="39"/>
      <c r="V24" s="39"/>
      <c r="W24" s="39"/>
      <c r="X24" s="41"/>
      <c r="Y24" s="39"/>
      <c r="Z24" s="39"/>
      <c r="AA24" s="39"/>
      <c r="AB24" s="39"/>
      <c r="AC24" s="39"/>
      <c r="AD24" s="67"/>
      <c r="AE24" s="68"/>
      <c r="AF24" s="68"/>
      <c r="AG24" s="68"/>
      <c r="AH24" s="68"/>
      <c r="AI24" s="5"/>
      <c r="AJ24" s="5"/>
      <c r="AK24" s="13"/>
      <c r="AL24" s="5"/>
      <c r="AM24" s="5"/>
      <c r="AN24" s="5"/>
      <c r="AO24" s="5"/>
      <c r="AP24" s="31"/>
    </row>
    <row r="25" spans="2:42" ht="20.100000000000001" customHeight="1">
      <c r="B25" s="102" t="s">
        <v>379</v>
      </c>
      <c r="C25" s="92">
        <v>4.0248691099476437</v>
      </c>
      <c r="D25" s="91" t="s">
        <v>378</v>
      </c>
      <c r="E25" s="112">
        <v>172.5</v>
      </c>
      <c r="F25" s="131"/>
      <c r="G25" s="91"/>
      <c r="H25" s="131"/>
      <c r="I25" s="91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1"/>
      <c r="Y25" s="39"/>
      <c r="Z25" s="39"/>
      <c r="AA25" s="39"/>
      <c r="AB25" s="39"/>
      <c r="AC25" s="39"/>
      <c r="AD25" s="67"/>
      <c r="AE25" s="68"/>
      <c r="AF25" s="68"/>
      <c r="AG25" s="68"/>
      <c r="AH25" s="68"/>
      <c r="AI25" s="5"/>
      <c r="AJ25" s="5"/>
      <c r="AK25" s="13"/>
      <c r="AL25" s="5"/>
      <c r="AM25" s="5"/>
      <c r="AN25" s="5"/>
      <c r="AO25" s="5"/>
      <c r="AP25" s="31"/>
    </row>
    <row r="26" spans="2:42" ht="20.100000000000001" customHeight="1">
      <c r="B26" s="102" t="s">
        <v>378</v>
      </c>
      <c r="C26" s="92">
        <v>5.3992146596858639</v>
      </c>
      <c r="D26" s="91" t="s">
        <v>376</v>
      </c>
      <c r="E26" s="112">
        <v>172.5</v>
      </c>
      <c r="F26" s="135"/>
      <c r="G26" s="135"/>
      <c r="H26" s="135"/>
      <c r="I26" s="135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1"/>
      <c r="Y26" s="39"/>
      <c r="Z26" s="39"/>
      <c r="AA26" s="39"/>
      <c r="AB26" s="39"/>
      <c r="AC26" s="39"/>
      <c r="AD26" s="67"/>
      <c r="AE26" s="68"/>
      <c r="AF26" s="68"/>
      <c r="AG26" s="68"/>
      <c r="AH26" s="68"/>
      <c r="AI26" s="5"/>
      <c r="AJ26" s="5"/>
      <c r="AK26" s="13"/>
      <c r="AL26" s="5"/>
      <c r="AM26" s="5"/>
      <c r="AN26" s="5"/>
      <c r="AO26" s="5"/>
      <c r="AP26" s="31"/>
    </row>
    <row r="27" spans="2:42" ht="20.100000000000001" customHeight="1">
      <c r="B27" s="102" t="s">
        <v>377</v>
      </c>
      <c r="C27" s="92">
        <v>6.9371727748691097</v>
      </c>
      <c r="D27" s="91" t="s">
        <v>379</v>
      </c>
      <c r="E27" s="112">
        <v>157.25</v>
      </c>
      <c r="F27" s="131"/>
      <c r="G27" s="91"/>
      <c r="H27" s="131"/>
      <c r="I27" s="91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67"/>
      <c r="AE27" s="68"/>
      <c r="AF27" s="68"/>
      <c r="AG27" s="68"/>
      <c r="AH27" s="68"/>
      <c r="AI27" s="5"/>
      <c r="AJ27" s="5"/>
      <c r="AK27" s="13"/>
      <c r="AL27" s="5"/>
      <c r="AM27" s="5"/>
      <c r="AN27" s="5"/>
      <c r="AO27" s="5"/>
      <c r="AP27" s="31"/>
    </row>
    <row r="28" spans="2:42" ht="20.100000000000001" customHeight="1">
      <c r="B28" s="102" t="s">
        <v>373</v>
      </c>
      <c r="C28" s="92">
        <v>7.1007853403141361</v>
      </c>
      <c r="D28" s="91" t="s">
        <v>380</v>
      </c>
      <c r="E28" s="112">
        <v>146.75</v>
      </c>
      <c r="F28" s="131"/>
      <c r="G28" s="91"/>
      <c r="H28" s="131"/>
      <c r="I28" s="91"/>
      <c r="J28" s="39"/>
      <c r="K28" s="39"/>
      <c r="L28" s="39"/>
      <c r="M28" s="39"/>
      <c r="N28" s="39"/>
      <c r="O28" s="39"/>
      <c r="P28" s="39"/>
      <c r="Q28" s="39"/>
      <c r="R28" s="39"/>
      <c r="S28" s="67"/>
      <c r="T28" s="68"/>
      <c r="U28" s="73"/>
      <c r="V28" s="73"/>
      <c r="W28" s="73"/>
      <c r="X28" s="8"/>
      <c r="Y28" s="39"/>
      <c r="Z28" s="39"/>
      <c r="AA28" s="39"/>
      <c r="AB28" s="39"/>
      <c r="AC28" s="39"/>
      <c r="AD28" s="67"/>
      <c r="AE28" s="68"/>
      <c r="AF28" s="68"/>
      <c r="AG28" s="68"/>
      <c r="AH28" s="68"/>
      <c r="AI28" s="5"/>
      <c r="AJ28" s="5"/>
      <c r="AK28" s="13"/>
      <c r="AL28" s="5"/>
      <c r="AM28" s="5"/>
      <c r="AN28" s="5"/>
      <c r="AO28" s="5"/>
      <c r="AP28" s="31"/>
    </row>
    <row r="29" spans="2:42" ht="20.100000000000001" customHeight="1">
      <c r="B29" s="102" t="s">
        <v>375</v>
      </c>
      <c r="C29" s="92">
        <v>7.6243455497382202</v>
      </c>
      <c r="D29" s="91" t="s">
        <v>382</v>
      </c>
      <c r="E29" s="112">
        <v>145.75</v>
      </c>
      <c r="F29" s="131"/>
      <c r="G29" s="91"/>
      <c r="H29" s="131"/>
      <c r="I29" s="91"/>
      <c r="J29" s="39"/>
      <c r="K29" s="39"/>
      <c r="L29" s="39"/>
      <c r="M29" s="39"/>
      <c r="N29" s="39"/>
      <c r="O29" s="39"/>
      <c r="P29" s="39"/>
      <c r="Q29" s="39"/>
      <c r="R29" s="39"/>
      <c r="S29" s="67"/>
      <c r="T29" s="68"/>
      <c r="U29" s="73"/>
      <c r="V29" s="73"/>
      <c r="W29" s="73"/>
      <c r="X29" s="8"/>
      <c r="Y29" s="39"/>
      <c r="Z29" s="39"/>
      <c r="AA29" s="39"/>
      <c r="AB29" s="39"/>
      <c r="AC29" s="39"/>
      <c r="AD29" s="67"/>
      <c r="AE29" s="68"/>
      <c r="AF29" s="68"/>
      <c r="AG29" s="68"/>
      <c r="AH29" s="68"/>
      <c r="AI29" s="5"/>
      <c r="AJ29" s="5"/>
      <c r="AK29" s="13"/>
      <c r="AL29" s="5"/>
      <c r="AM29" s="5"/>
      <c r="AN29" s="5"/>
      <c r="AO29" s="5"/>
      <c r="AP29" s="31"/>
    </row>
    <row r="30" spans="2:42" ht="20.100000000000001" customHeight="1">
      <c r="B30" s="102" t="s">
        <v>374</v>
      </c>
      <c r="C30" s="92">
        <v>7.9188481675392675</v>
      </c>
      <c r="D30" s="91" t="s">
        <v>381</v>
      </c>
      <c r="E30" s="112">
        <v>141.25</v>
      </c>
      <c r="F30" s="131"/>
      <c r="G30" s="91"/>
      <c r="H30" s="131"/>
      <c r="I30" s="91"/>
      <c r="J30" s="39"/>
      <c r="K30" s="39"/>
      <c r="L30" s="39"/>
      <c r="M30" s="39"/>
      <c r="N30" s="39"/>
      <c r="O30" s="39"/>
      <c r="P30" s="39"/>
      <c r="Q30" s="39"/>
      <c r="R30" s="39"/>
      <c r="S30" s="67"/>
      <c r="T30" s="68"/>
      <c r="U30" s="73"/>
      <c r="V30" s="73"/>
      <c r="W30" s="73"/>
      <c r="X30" s="8"/>
      <c r="Y30" s="39"/>
      <c r="Z30" s="39"/>
      <c r="AA30" s="39"/>
      <c r="AB30" s="39"/>
      <c r="AC30" s="39"/>
      <c r="AD30" s="67"/>
      <c r="AE30" s="68"/>
      <c r="AF30" s="68"/>
      <c r="AG30" s="68"/>
      <c r="AH30" s="68"/>
      <c r="AI30" s="5"/>
      <c r="AJ30" s="5"/>
      <c r="AK30" s="13"/>
      <c r="AL30" s="5"/>
      <c r="AM30" s="5"/>
      <c r="AN30" s="5"/>
      <c r="AO30" s="5"/>
      <c r="AP30" s="31"/>
    </row>
    <row r="31" spans="2:42" ht="20.100000000000001" customHeight="1">
      <c r="B31" s="91"/>
      <c r="C31" s="91"/>
      <c r="D31" s="91"/>
      <c r="E31" s="91"/>
      <c r="F31" s="131"/>
      <c r="G31" s="91"/>
      <c r="H31" s="131"/>
      <c r="I31" s="91"/>
      <c r="J31" s="39"/>
      <c r="K31" s="39"/>
      <c r="L31" s="39"/>
      <c r="M31" s="39"/>
      <c r="N31" s="39"/>
      <c r="O31" s="39"/>
      <c r="P31" s="39"/>
      <c r="Q31" s="39"/>
      <c r="R31" s="39"/>
      <c r="S31" s="67"/>
      <c r="T31" s="68"/>
      <c r="U31" s="73"/>
      <c r="V31" s="73"/>
      <c r="W31" s="73"/>
      <c r="X31" s="8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P31" s="38"/>
    </row>
    <row r="32" spans="2:42" ht="20.100000000000001" customHeight="1">
      <c r="B32" s="91"/>
      <c r="C32" s="91"/>
      <c r="D32" s="107"/>
      <c r="E32" s="91"/>
      <c r="F32" s="131"/>
      <c r="G32" s="91"/>
      <c r="H32" s="131"/>
      <c r="I32" s="91"/>
      <c r="J32" s="39"/>
      <c r="K32" s="39"/>
      <c r="L32" s="39"/>
      <c r="M32" s="39"/>
      <c r="N32" s="39"/>
      <c r="O32" s="39"/>
      <c r="P32" s="39"/>
      <c r="Q32" s="39"/>
      <c r="R32" s="39"/>
      <c r="S32" s="67"/>
      <c r="T32" s="68"/>
      <c r="U32" s="73"/>
      <c r="V32" s="73"/>
      <c r="W32" s="73"/>
      <c r="X32" s="8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2:34" ht="20.100000000000001" customHeight="1">
      <c r="B33" s="203"/>
      <c r="C33" s="203"/>
      <c r="D33" s="204"/>
      <c r="E33" s="203"/>
      <c r="F33" s="205"/>
      <c r="G33" s="203"/>
      <c r="H33" s="205"/>
      <c r="I33" s="203"/>
      <c r="J33" s="39"/>
      <c r="K33" s="39"/>
      <c r="L33" s="39"/>
      <c r="M33" s="39"/>
      <c r="N33" s="39"/>
      <c r="O33" s="39"/>
      <c r="P33" s="39"/>
      <c r="Q33" s="39"/>
      <c r="R33" s="39"/>
      <c r="S33" s="67"/>
      <c r="T33" s="68"/>
      <c r="U33" s="73"/>
      <c r="V33" s="73"/>
      <c r="W33" s="73"/>
      <c r="X33" s="8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2:34" ht="20.100000000000001" customHeight="1">
      <c r="B34" s="39"/>
      <c r="C34" s="39"/>
      <c r="J34" s="39"/>
      <c r="K34" s="39"/>
      <c r="L34" s="39"/>
      <c r="M34" s="39"/>
      <c r="N34" s="39"/>
      <c r="O34" s="39"/>
      <c r="P34" s="39"/>
      <c r="Q34" s="39"/>
      <c r="R34" s="39"/>
      <c r="S34" s="67"/>
      <c r="T34" s="68"/>
      <c r="U34" s="73"/>
      <c r="V34" s="73"/>
      <c r="W34" s="73"/>
      <c r="X34" s="8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2:34" ht="20.100000000000001" customHeight="1">
      <c r="B35" s="40"/>
      <c r="C35" s="40"/>
      <c r="D35" s="53"/>
      <c r="E35" s="40"/>
      <c r="F35" s="42"/>
      <c r="G35" s="40"/>
      <c r="H35" s="42"/>
      <c r="I35" s="40"/>
      <c r="J35" s="39"/>
      <c r="K35" s="39"/>
      <c r="L35" s="39"/>
      <c r="M35" s="39"/>
      <c r="N35" s="39"/>
      <c r="O35" s="39"/>
      <c r="P35" s="39"/>
      <c r="Q35" s="39"/>
      <c r="R35" s="39"/>
      <c r="S35" s="67"/>
      <c r="T35" s="68"/>
      <c r="U35" s="73"/>
      <c r="V35" s="73"/>
      <c r="W35" s="73"/>
      <c r="X35" s="8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2:34" ht="40.5" customHeight="1">
      <c r="B36" s="74" t="s">
        <v>315</v>
      </c>
      <c r="C36" s="39"/>
      <c r="D36" s="44"/>
      <c r="E36" s="39"/>
      <c r="F36" s="41"/>
      <c r="G36" s="39"/>
      <c r="H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/>
      <c r="T36" s="68"/>
      <c r="U36" s="73"/>
      <c r="V36" s="73"/>
      <c r="W36" s="73"/>
      <c r="X36" s="8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27.75" customHeight="1">
      <c r="B37" s="185" t="s">
        <v>55</v>
      </c>
      <c r="C37" s="39"/>
      <c r="D37" s="44"/>
      <c r="E37" s="39"/>
      <c r="F37" s="41"/>
      <c r="G37" s="39"/>
      <c r="H37" s="41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2:34" ht="20.100000000000001" customHeight="1">
      <c r="C38" s="39"/>
      <c r="D38" s="44"/>
      <c r="E38" s="39"/>
      <c r="F38" s="41"/>
      <c r="G38" s="39"/>
      <c r="H38" s="41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2:34" ht="20.100000000000001" customHeight="1">
      <c r="C39" s="39"/>
      <c r="D39" s="44"/>
      <c r="E39" s="39"/>
      <c r="F39" s="41"/>
      <c r="G39" s="39"/>
      <c r="H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2:34" ht="20.100000000000001" customHeight="1">
      <c r="B40" s="39"/>
      <c r="C40" s="39"/>
      <c r="D40" s="44"/>
      <c r="E40" s="39"/>
      <c r="F40" s="41"/>
      <c r="G40" s="39"/>
      <c r="H40" s="41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2:34" ht="20.100000000000001" customHeight="1">
      <c r="B41" s="39"/>
      <c r="C41" s="39"/>
      <c r="D41" s="44"/>
      <c r="E41" s="39"/>
      <c r="F41" s="41"/>
      <c r="G41" s="39"/>
      <c r="H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ht="20.100000000000001" customHeight="1">
      <c r="B42" s="39"/>
      <c r="C42" s="39"/>
      <c r="D42" s="44"/>
      <c r="E42" s="39"/>
      <c r="F42" s="41"/>
      <c r="G42" s="39"/>
      <c r="H42" s="41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ht="20.100000000000001" customHeight="1">
      <c r="B43" s="39"/>
      <c r="C43" s="39"/>
      <c r="D43" s="44"/>
      <c r="E43" s="39"/>
      <c r="F43" s="41"/>
      <c r="G43" s="39"/>
      <c r="H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20.100000000000001" customHeight="1">
      <c r="B44" s="71"/>
      <c r="C44" s="71"/>
      <c r="D44" s="45"/>
      <c r="E44" s="71"/>
      <c r="F44" s="41"/>
      <c r="G44" s="39"/>
      <c r="H44" s="41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2:34" ht="20.100000000000001" customHeight="1">
      <c r="B45" s="39"/>
      <c r="C45" s="39"/>
      <c r="D45" s="44"/>
      <c r="E45" s="39"/>
      <c r="F45" s="41"/>
      <c r="G45" s="39"/>
      <c r="H45" s="41"/>
      <c r="I45" s="39"/>
    </row>
    <row r="46" spans="2:34" ht="20.100000000000001" customHeight="1">
      <c r="B46" s="56"/>
      <c r="C46" s="56"/>
      <c r="D46" s="46"/>
      <c r="E46" s="56"/>
    </row>
  </sheetData>
  <sortState xmlns:xlrd2="http://schemas.microsoft.com/office/spreadsheetml/2017/richdata2" ref="B21:C30">
    <sortCondition ref="C21"/>
  </sortState>
  <mergeCells count="3">
    <mergeCell ref="O17:Q17"/>
    <mergeCell ref="O19:Q19"/>
    <mergeCell ref="O22:Q22"/>
  </mergeCells>
  <conditionalFormatting sqref="J6:M1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37" r:id="rId1" xr:uid="{00000000-0004-0000-0600-000000000000}"/>
  </hyperlinks>
  <pageMargins left="0.7" right="0.7" top="0.75" bottom="0.75" header="0.3" footer="0.3"/>
  <pageSetup paperSize="9" scale="54" orientation="landscape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workbookViewId="0">
      <selection activeCell="J4" sqref="J4"/>
    </sheetView>
  </sheetViews>
  <sheetFormatPr defaultRowHeight="14.25"/>
  <cols>
    <col min="1" max="1" width="47" style="43" customWidth="1"/>
    <col min="2" max="4" width="14.140625" style="35" customWidth="1"/>
    <col min="5" max="5" width="14.140625" style="13" customWidth="1"/>
    <col min="6" max="6" width="8.28515625" style="5" customWidth="1"/>
    <col min="7" max="7" width="9.42578125" style="5" customWidth="1"/>
    <col min="8" max="8" width="24" style="5" customWidth="1"/>
    <col min="9" max="9" width="7" style="5" bestFit="1" customWidth="1"/>
    <col min="10" max="10" width="6.5703125" style="31" bestFit="1" customWidth="1"/>
    <col min="11" max="11" width="9.140625" style="35" customWidth="1"/>
    <col min="12" max="16384" width="9.140625" style="35"/>
  </cols>
  <sheetData>
    <row r="1" spans="1:10" ht="15">
      <c r="A1" s="84" t="s">
        <v>0</v>
      </c>
      <c r="B1" s="36"/>
      <c r="C1" s="36"/>
      <c r="D1" s="36"/>
      <c r="E1" s="37"/>
      <c r="F1" s="76"/>
      <c r="G1" s="76"/>
    </row>
    <row r="2" spans="1:10" ht="15">
      <c r="A2" s="18" t="s">
        <v>1</v>
      </c>
      <c r="B2" s="1"/>
      <c r="C2" s="1"/>
      <c r="D2" s="1"/>
      <c r="E2" s="19"/>
      <c r="F2" s="9"/>
      <c r="G2" s="9"/>
    </row>
    <row r="4" spans="1:10" ht="43.5" customHeight="1">
      <c r="A4" s="116" t="s">
        <v>372</v>
      </c>
      <c r="B4" s="125" t="s">
        <v>26</v>
      </c>
      <c r="C4" s="125" t="s">
        <v>27</v>
      </c>
      <c r="D4" s="125" t="s">
        <v>28</v>
      </c>
      <c r="E4" s="125" t="s">
        <v>29</v>
      </c>
      <c r="F4" s="125" t="s">
        <v>8</v>
      </c>
      <c r="G4" s="125" t="s">
        <v>9</v>
      </c>
      <c r="H4" s="157" t="s">
        <v>385</v>
      </c>
      <c r="I4" s="35"/>
      <c r="J4" s="35"/>
    </row>
    <row r="5" spans="1:10" ht="15">
      <c r="A5" s="35" t="s">
        <v>386</v>
      </c>
      <c r="B5" s="22">
        <v>85</v>
      </c>
      <c r="C5" s="22">
        <v>88</v>
      </c>
      <c r="D5" s="22">
        <v>67</v>
      </c>
      <c r="E5" s="22">
        <v>68</v>
      </c>
      <c r="F5" s="21">
        <f>SUM(Subprefeituras_2025[[#This Row],[1° trim 2025]:[4° trim 2025]])</f>
        <v>308</v>
      </c>
      <c r="G5" s="21">
        <f>AVERAGE(Subprefeituras_2025[[#This Row],[1° trim 2025]:[4° trim 2025]])</f>
        <v>77</v>
      </c>
      <c r="H5" s="159">
        <f>(Subprefeituras_2025[[#This Row],[Total]]/Subprefeituras_2025[[#Totals],[Total]])</f>
        <v>2.1766784452296819E-2</v>
      </c>
      <c r="I5" s="35"/>
      <c r="J5" s="35"/>
    </row>
    <row r="6" spans="1:10" ht="15">
      <c r="A6" s="202" t="s">
        <v>377</v>
      </c>
      <c r="B6" s="22">
        <v>230</v>
      </c>
      <c r="C6" s="22">
        <v>282</v>
      </c>
      <c r="D6" s="22">
        <v>168</v>
      </c>
      <c r="E6" s="22">
        <v>212</v>
      </c>
      <c r="F6" s="21">
        <f>SUM(Subprefeituras_2025[[#This Row],[1° trim 2025]:[4° trim 2025]])</f>
        <v>892</v>
      </c>
      <c r="G6" s="21">
        <f>AVERAGE(Subprefeituras_2025[[#This Row],[1° trim 2025]:[4° trim 2025]])</f>
        <v>223</v>
      </c>
      <c r="H6" s="159">
        <f>(Subprefeituras_2025[[#This Row],[Total]]/Subprefeituras_2025[[#Totals],[Total]])</f>
        <v>6.3038869257950533E-2</v>
      </c>
      <c r="I6" s="35"/>
      <c r="J6" s="35"/>
    </row>
    <row r="7" spans="1:10" ht="15">
      <c r="A7" s="202" t="s">
        <v>381</v>
      </c>
      <c r="B7" s="22">
        <v>156</v>
      </c>
      <c r="C7" s="22">
        <v>157</v>
      </c>
      <c r="D7" s="22">
        <v>139</v>
      </c>
      <c r="E7" s="22">
        <v>113</v>
      </c>
      <c r="F7" s="21">
        <f>SUM(Subprefeituras_2025[[#This Row],[1° trim 2025]:[4° trim 2025]])</f>
        <v>565</v>
      </c>
      <c r="G7" s="21">
        <f>AVERAGE(Subprefeituras_2025[[#This Row],[1° trim 2025]:[4° trim 2025]])</f>
        <v>141.25</v>
      </c>
      <c r="H7" s="159">
        <f>(Subprefeituras_2025[[#This Row],[Total]]/Subprefeituras_2025[[#Totals],[Total]])</f>
        <v>3.9929328621908129E-2</v>
      </c>
      <c r="I7" s="35"/>
      <c r="J7" s="35"/>
    </row>
    <row r="8" spans="1:10" ht="15">
      <c r="A8" s="35" t="s">
        <v>387</v>
      </c>
      <c r="B8" s="22">
        <v>128</v>
      </c>
      <c r="C8" s="22">
        <v>108</v>
      </c>
      <c r="D8" s="22">
        <v>115</v>
      </c>
      <c r="E8" s="22">
        <v>121</v>
      </c>
      <c r="F8" s="21">
        <f>SUM(Subprefeituras_2025[[#This Row],[1° trim 2025]:[4° trim 2025]])</f>
        <v>472</v>
      </c>
      <c r="G8" s="21">
        <f>AVERAGE(Subprefeituras_2025[[#This Row],[1° trim 2025]:[4° trim 2025]])</f>
        <v>118</v>
      </c>
      <c r="H8" s="159">
        <f>(Subprefeituras_2025[[#This Row],[Total]]/Subprefeituras_2025[[#Totals],[Total]])</f>
        <v>3.3356890459363957E-2</v>
      </c>
      <c r="I8" s="35"/>
      <c r="J8" s="35"/>
    </row>
    <row r="9" spans="1:10" ht="15">
      <c r="A9" s="35" t="s">
        <v>388</v>
      </c>
      <c r="B9" s="22">
        <v>115</v>
      </c>
      <c r="C9" s="22">
        <v>96</v>
      </c>
      <c r="D9" s="22">
        <v>90</v>
      </c>
      <c r="E9" s="22">
        <v>85</v>
      </c>
      <c r="F9" s="21">
        <f>SUM(Subprefeituras_2025[[#This Row],[1° trim 2025]:[4° trim 2025]])</f>
        <v>386</v>
      </c>
      <c r="G9" s="21">
        <f>AVERAGE(Subprefeituras_2025[[#This Row],[1° trim 2025]:[4° trim 2025]])</f>
        <v>96.5</v>
      </c>
      <c r="H9" s="159">
        <f>(Subprefeituras_2025[[#This Row],[Total]]/Subprefeituras_2025[[#Totals],[Total]])</f>
        <v>2.7279151943462896E-2</v>
      </c>
      <c r="I9" s="35"/>
      <c r="J9" s="35"/>
    </row>
    <row r="10" spans="1:10" ht="15">
      <c r="A10" s="35" t="s">
        <v>389</v>
      </c>
      <c r="B10" s="22">
        <v>98</v>
      </c>
      <c r="C10" s="22">
        <v>93</v>
      </c>
      <c r="D10" s="22">
        <v>92</v>
      </c>
      <c r="E10" s="22">
        <v>90</v>
      </c>
      <c r="F10" s="21">
        <f>SUM(Subprefeituras_2025[[#This Row],[1° trim 2025]:[4° trim 2025]])</f>
        <v>373</v>
      </c>
      <c r="G10" s="21">
        <f>AVERAGE(Subprefeituras_2025[[#This Row],[1° trim 2025]:[4° trim 2025]])</f>
        <v>93.25</v>
      </c>
      <c r="H10" s="159">
        <f>(Subprefeituras_2025[[#This Row],[Total]]/Subprefeituras_2025[[#Totals],[Total]])</f>
        <v>2.6360424028268551E-2</v>
      </c>
      <c r="I10" s="35"/>
      <c r="J10" s="35"/>
    </row>
    <row r="11" spans="1:10" ht="15">
      <c r="A11" s="35" t="s">
        <v>390</v>
      </c>
      <c r="B11" s="22">
        <v>22</v>
      </c>
      <c r="C11" s="22">
        <v>20</v>
      </c>
      <c r="D11" s="22">
        <v>10</v>
      </c>
      <c r="E11" s="22">
        <v>16</v>
      </c>
      <c r="F11" s="21">
        <f>SUM(Subprefeituras_2025[[#This Row],[1° trim 2025]:[4° trim 2025]])</f>
        <v>68</v>
      </c>
      <c r="G11" s="21">
        <f>AVERAGE(Subprefeituras_2025[[#This Row],[1° trim 2025]:[4° trim 2025]])</f>
        <v>17</v>
      </c>
      <c r="H11" s="159">
        <f>(Subprefeituras_2025[[#This Row],[Total]]/Subprefeituras_2025[[#Totals],[Total]])</f>
        <v>4.8056537102473497E-3</v>
      </c>
      <c r="I11" s="35"/>
      <c r="J11" s="35"/>
    </row>
    <row r="12" spans="1:10" ht="15">
      <c r="A12" s="35" t="s">
        <v>391</v>
      </c>
      <c r="B12" s="22">
        <v>33</v>
      </c>
      <c r="C12" s="22">
        <v>30</v>
      </c>
      <c r="D12" s="22">
        <v>22</v>
      </c>
      <c r="E12" s="22">
        <v>24</v>
      </c>
      <c r="F12" s="21">
        <f>SUM(Subprefeituras_2025[[#This Row],[1° trim 2025]:[4° trim 2025]])</f>
        <v>109</v>
      </c>
      <c r="G12" s="21">
        <f>AVERAGE(Subprefeituras_2025[[#This Row],[1° trim 2025]:[4° trim 2025]])</f>
        <v>27.25</v>
      </c>
      <c r="H12" s="159">
        <f>(Subprefeituras_2025[[#This Row],[Total]]/Subprefeituras_2025[[#Totals],[Total]])</f>
        <v>7.7031802120141341E-3</v>
      </c>
      <c r="I12" s="35"/>
      <c r="J12" s="35"/>
    </row>
    <row r="13" spans="1:10" ht="15">
      <c r="A13" s="35" t="s">
        <v>392</v>
      </c>
      <c r="B13" s="22">
        <v>68</v>
      </c>
      <c r="C13" s="22">
        <v>47</v>
      </c>
      <c r="D13" s="22">
        <v>69</v>
      </c>
      <c r="E13" s="22">
        <v>59</v>
      </c>
      <c r="F13" s="21">
        <f>SUM(Subprefeituras_2025[[#This Row],[1° trim 2025]:[4° trim 2025]])</f>
        <v>243</v>
      </c>
      <c r="G13" s="21">
        <f>AVERAGE(Subprefeituras_2025[[#This Row],[1° trim 2025]:[4° trim 2025]])</f>
        <v>60.75</v>
      </c>
      <c r="H13" s="159">
        <f>(Subprefeituras_2025[[#This Row],[Total]]/Subprefeituras_2025[[#Totals],[Total]])</f>
        <v>1.7173144876325087E-2</v>
      </c>
      <c r="I13" s="35"/>
      <c r="J13" s="35"/>
    </row>
    <row r="14" spans="1:10" ht="15">
      <c r="A14" s="35" t="s">
        <v>393</v>
      </c>
      <c r="B14" s="22">
        <v>51</v>
      </c>
      <c r="C14" s="22">
        <v>37</v>
      </c>
      <c r="D14" s="22">
        <v>54</v>
      </c>
      <c r="E14" s="22">
        <v>32</v>
      </c>
      <c r="F14" s="21">
        <f>SUM(Subprefeituras_2025[[#This Row],[1° trim 2025]:[4° trim 2025]])</f>
        <v>174</v>
      </c>
      <c r="G14" s="21">
        <f>AVERAGE(Subprefeituras_2025[[#This Row],[1° trim 2025]:[4° trim 2025]])</f>
        <v>43.5</v>
      </c>
      <c r="H14" s="159">
        <f>(Subprefeituras_2025[[#This Row],[Total]]/Subprefeituras_2025[[#Totals],[Total]])</f>
        <v>1.2296819787985866E-2</v>
      </c>
      <c r="I14" s="35"/>
      <c r="J14" s="35"/>
    </row>
    <row r="15" spans="1:10" ht="15">
      <c r="A15" s="202" t="s">
        <v>375</v>
      </c>
      <c r="B15" s="22">
        <v>193</v>
      </c>
      <c r="C15" s="22">
        <v>224</v>
      </c>
      <c r="D15" s="22">
        <v>194</v>
      </c>
      <c r="E15" s="22">
        <v>233</v>
      </c>
      <c r="F15" s="21">
        <f>SUM(Subprefeituras_2025[[#This Row],[1° trim 2025]:[4° trim 2025]])</f>
        <v>844</v>
      </c>
      <c r="G15" s="21">
        <f>AVERAGE(Subprefeituras_2025[[#This Row],[1° trim 2025]:[4° trim 2025]])</f>
        <v>211</v>
      </c>
      <c r="H15" s="159">
        <f>(Subprefeituras_2025[[#This Row],[Total]]/Subprefeituras_2025[[#Totals],[Total]])</f>
        <v>5.9646643109540633E-2</v>
      </c>
      <c r="I15" s="35"/>
      <c r="J15" s="35"/>
    </row>
    <row r="16" spans="1:10" ht="15">
      <c r="A16" s="35" t="s">
        <v>394</v>
      </c>
      <c r="B16" s="22">
        <v>71</v>
      </c>
      <c r="C16" s="22">
        <v>89</v>
      </c>
      <c r="D16" s="22">
        <v>73</v>
      </c>
      <c r="E16" s="22">
        <v>51</v>
      </c>
      <c r="F16" s="21">
        <f>SUM(Subprefeituras_2025[[#This Row],[1° trim 2025]:[4° trim 2025]])</f>
        <v>284</v>
      </c>
      <c r="G16" s="21">
        <f>AVERAGE(Subprefeituras_2025[[#This Row],[1° trim 2025]:[4° trim 2025]])</f>
        <v>71</v>
      </c>
      <c r="H16" s="159">
        <f>(Subprefeituras_2025[[#This Row],[Total]]/Subprefeituras_2025[[#Totals],[Total]])</f>
        <v>2.0070671378091872E-2</v>
      </c>
      <c r="I16" s="35"/>
      <c r="J16" s="35"/>
    </row>
    <row r="17" spans="1:9" s="35" customFormat="1" ht="15">
      <c r="A17" s="202" t="s">
        <v>380</v>
      </c>
      <c r="B17" s="22">
        <v>179</v>
      </c>
      <c r="C17" s="22">
        <v>144</v>
      </c>
      <c r="D17" s="22">
        <v>145</v>
      </c>
      <c r="E17" s="22">
        <v>119</v>
      </c>
      <c r="F17" s="21">
        <f>SUM(Subprefeituras_2025[[#This Row],[1° trim 2025]:[4° trim 2025]])</f>
        <v>587</v>
      </c>
      <c r="G17" s="21">
        <f>AVERAGE(Subprefeituras_2025[[#This Row],[1° trim 2025]:[4° trim 2025]])</f>
        <v>146.75</v>
      </c>
      <c r="H17" s="159">
        <f>(Subprefeituras_2025[[#This Row],[Total]]/Subprefeituras_2025[[#Totals],[Total]])</f>
        <v>4.1484098939929326E-2</v>
      </c>
    </row>
    <row r="18" spans="1:9" s="35" customFormat="1" ht="15">
      <c r="A18" s="35" t="s">
        <v>395</v>
      </c>
      <c r="B18" s="22">
        <v>76</v>
      </c>
      <c r="C18" s="22">
        <v>45</v>
      </c>
      <c r="D18" s="22">
        <v>37</v>
      </c>
      <c r="E18" s="22">
        <v>53</v>
      </c>
      <c r="F18" s="21">
        <f>SUM(Subprefeituras_2025[[#This Row],[1° trim 2025]:[4° trim 2025]])</f>
        <v>211</v>
      </c>
      <c r="G18" s="21">
        <f>AVERAGE(Subprefeituras_2025[[#This Row],[1° trim 2025]:[4° trim 2025]])</f>
        <v>52.75</v>
      </c>
      <c r="H18" s="159">
        <f>(Subprefeituras_2025[[#This Row],[Total]]/Subprefeituras_2025[[#Totals],[Total]])</f>
        <v>1.4911660777385158E-2</v>
      </c>
    </row>
    <row r="19" spans="1:9" s="35" customFormat="1" ht="15">
      <c r="A19" s="35" t="s">
        <v>396</v>
      </c>
      <c r="B19" s="22">
        <v>118</v>
      </c>
      <c r="C19" s="22">
        <v>103</v>
      </c>
      <c r="D19" s="22">
        <v>92</v>
      </c>
      <c r="E19" s="22">
        <v>63</v>
      </c>
      <c r="F19" s="21">
        <f>SUM(Subprefeituras_2025[[#This Row],[1° trim 2025]:[4° trim 2025]])</f>
        <v>376</v>
      </c>
      <c r="G19" s="21">
        <f>AVERAGE(Subprefeituras_2025[[#This Row],[1° trim 2025]:[4° trim 2025]])</f>
        <v>94</v>
      </c>
      <c r="H19" s="159">
        <f>(Subprefeituras_2025[[#This Row],[Total]]/Subprefeituras_2025[[#Totals],[Total]])</f>
        <v>2.6572438162544169E-2</v>
      </c>
      <c r="I19" s="43"/>
    </row>
    <row r="20" spans="1:9" s="35" customFormat="1" ht="15">
      <c r="A20" s="202" t="s">
        <v>373</v>
      </c>
      <c r="B20" s="22">
        <v>213</v>
      </c>
      <c r="C20" s="22">
        <v>192</v>
      </c>
      <c r="D20" s="22">
        <v>312</v>
      </c>
      <c r="E20" s="22">
        <v>217</v>
      </c>
      <c r="F20" s="21">
        <f>SUM(Subprefeituras_2025[[#This Row],[1° trim 2025]:[4° trim 2025]])</f>
        <v>934</v>
      </c>
      <c r="G20" s="21">
        <f>AVERAGE(Subprefeituras_2025[[#This Row],[1° trim 2025]:[4° trim 2025]])</f>
        <v>233.5</v>
      </c>
      <c r="H20" s="159">
        <f>(Subprefeituras_2025[[#This Row],[Total]]/Subprefeituras_2025[[#Totals],[Total]])</f>
        <v>6.6007067137809183E-2</v>
      </c>
      <c r="I20" s="43"/>
    </row>
    <row r="21" spans="1:9" s="35" customFormat="1" ht="15">
      <c r="A21" s="35" t="s">
        <v>397</v>
      </c>
      <c r="B21" s="22">
        <v>81</v>
      </c>
      <c r="C21" s="22">
        <v>86</v>
      </c>
      <c r="D21" s="22">
        <v>71</v>
      </c>
      <c r="E21" s="22">
        <v>64</v>
      </c>
      <c r="F21" s="21">
        <f>SUM(Subprefeituras_2025[[#This Row],[1° trim 2025]:[4° trim 2025]])</f>
        <v>302</v>
      </c>
      <c r="G21" s="21">
        <f>AVERAGE(Subprefeituras_2025[[#This Row],[1° trim 2025]:[4° trim 2025]])</f>
        <v>75.5</v>
      </c>
      <c r="H21" s="159">
        <f>(Subprefeituras_2025[[#This Row],[Total]]/Subprefeituras_2025[[#Totals],[Total]])</f>
        <v>2.1342756183745582E-2</v>
      </c>
      <c r="I21" s="43"/>
    </row>
    <row r="22" spans="1:9" s="35" customFormat="1" ht="15">
      <c r="A22" s="202" t="s">
        <v>379</v>
      </c>
      <c r="B22" s="22">
        <v>168</v>
      </c>
      <c r="C22" s="22">
        <v>177</v>
      </c>
      <c r="D22" s="22">
        <v>161</v>
      </c>
      <c r="E22" s="22">
        <v>123</v>
      </c>
      <c r="F22" s="21">
        <f>SUM(Subprefeituras_2025[[#This Row],[1° trim 2025]:[4° trim 2025]])</f>
        <v>629</v>
      </c>
      <c r="G22" s="21">
        <f>AVERAGE(Subprefeituras_2025[[#This Row],[1° trim 2025]:[4° trim 2025]])</f>
        <v>157.25</v>
      </c>
      <c r="H22" s="159">
        <f>(Subprefeituras_2025[[#This Row],[Total]]/Subprefeituras_2025[[#Totals],[Total]])</f>
        <v>4.4452296819787983E-2</v>
      </c>
      <c r="I22" s="43"/>
    </row>
    <row r="23" spans="1:9" s="35" customFormat="1" ht="15">
      <c r="A23" s="35" t="s">
        <v>398</v>
      </c>
      <c r="B23" s="22">
        <v>51</v>
      </c>
      <c r="C23" s="22">
        <v>63</v>
      </c>
      <c r="D23" s="22">
        <v>33</v>
      </c>
      <c r="E23" s="22">
        <v>29</v>
      </c>
      <c r="F23" s="21">
        <f>SUM(Subprefeituras_2025[[#This Row],[1° trim 2025]:[4° trim 2025]])</f>
        <v>176</v>
      </c>
      <c r="G23" s="21">
        <f>AVERAGE(Subprefeituras_2025[[#This Row],[1° trim 2025]:[4° trim 2025]])</f>
        <v>44</v>
      </c>
      <c r="H23" s="159">
        <f>(Subprefeituras_2025[[#This Row],[Total]]/Subprefeituras_2025[[#Totals],[Total]])</f>
        <v>1.2438162544169611E-2</v>
      </c>
      <c r="I23" s="43"/>
    </row>
    <row r="24" spans="1:9" s="35" customFormat="1" ht="15">
      <c r="A24" s="202" t="s">
        <v>378</v>
      </c>
      <c r="B24" s="22">
        <v>192</v>
      </c>
      <c r="C24" s="22">
        <v>165</v>
      </c>
      <c r="D24" s="22">
        <v>168</v>
      </c>
      <c r="E24" s="22">
        <v>165</v>
      </c>
      <c r="F24" s="21">
        <f>SUM(Subprefeituras_2025[[#This Row],[1° trim 2025]:[4° trim 2025]])</f>
        <v>690</v>
      </c>
      <c r="G24" s="21">
        <f>AVERAGE(Subprefeituras_2025[[#This Row],[1° trim 2025]:[4° trim 2025]])</f>
        <v>172.5</v>
      </c>
      <c r="H24" s="159">
        <f>(Subprefeituras_2025[[#This Row],[Total]]/Subprefeituras_2025[[#Totals],[Total]])</f>
        <v>4.8763250883392228E-2</v>
      </c>
      <c r="I24" s="43"/>
    </row>
    <row r="25" spans="1:9" s="35" customFormat="1" ht="15">
      <c r="A25" s="35" t="s">
        <v>399</v>
      </c>
      <c r="B25" s="22">
        <v>20</v>
      </c>
      <c r="C25" s="22">
        <v>19</v>
      </c>
      <c r="D25" s="22">
        <v>19</v>
      </c>
      <c r="E25" s="22">
        <v>13</v>
      </c>
      <c r="F25" s="21">
        <f>SUM(Subprefeituras_2025[[#This Row],[1° trim 2025]:[4° trim 2025]])</f>
        <v>71</v>
      </c>
      <c r="G25" s="21">
        <f>AVERAGE(Subprefeituras_2025[[#This Row],[1° trim 2025]:[4° trim 2025]])</f>
        <v>17.75</v>
      </c>
      <c r="H25" s="159">
        <f>(Subprefeituras_2025[[#This Row],[Total]]/Subprefeituras_2025[[#Totals],[Total]])</f>
        <v>5.017667844522968E-3</v>
      </c>
      <c r="I25" s="43"/>
    </row>
    <row r="26" spans="1:9" s="35" customFormat="1" ht="15">
      <c r="A26" s="202" t="s">
        <v>382</v>
      </c>
      <c r="B26" s="22">
        <v>142</v>
      </c>
      <c r="C26" s="22">
        <v>185</v>
      </c>
      <c r="D26" s="22">
        <v>137</v>
      </c>
      <c r="E26" s="22">
        <v>119</v>
      </c>
      <c r="F26" s="21">
        <f>SUM(Subprefeituras_2025[[#This Row],[1° trim 2025]:[4° trim 2025]])</f>
        <v>583</v>
      </c>
      <c r="G26" s="21">
        <f>AVERAGE(Subprefeituras_2025[[#This Row],[1° trim 2025]:[4° trim 2025]])</f>
        <v>145.75</v>
      </c>
      <c r="H26" s="159">
        <f>(Subprefeituras_2025[[#This Row],[Total]]/Subprefeituras_2025[[#Totals],[Total]])</f>
        <v>4.1201413427561839E-2</v>
      </c>
      <c r="I26" s="43"/>
    </row>
    <row r="27" spans="1:9" s="35" customFormat="1" ht="15">
      <c r="A27" s="202" t="s">
        <v>376</v>
      </c>
      <c r="B27" s="22">
        <v>222</v>
      </c>
      <c r="C27" s="22">
        <v>187</v>
      </c>
      <c r="D27" s="22">
        <v>180</v>
      </c>
      <c r="E27" s="22">
        <v>101</v>
      </c>
      <c r="F27" s="21">
        <f>SUM(Subprefeituras_2025[[#This Row],[1° trim 2025]:[4° trim 2025]])</f>
        <v>690</v>
      </c>
      <c r="G27" s="21">
        <f>AVERAGE(Subprefeituras_2025[[#This Row],[1° trim 2025]:[4° trim 2025]])</f>
        <v>172.5</v>
      </c>
      <c r="H27" s="159">
        <f>(Subprefeituras_2025[[#This Row],[Total]]/Subprefeituras_2025[[#Totals],[Total]])</f>
        <v>4.8763250883392228E-2</v>
      </c>
      <c r="I27" s="43"/>
    </row>
    <row r="28" spans="1:9" s="35" customFormat="1" ht="15">
      <c r="A28" s="35" t="s">
        <v>400</v>
      </c>
      <c r="B28" s="22">
        <v>165</v>
      </c>
      <c r="C28" s="22">
        <v>156</v>
      </c>
      <c r="D28" s="22">
        <v>125</v>
      </c>
      <c r="E28" s="22">
        <v>109</v>
      </c>
      <c r="F28" s="21">
        <f>SUM(Subprefeituras_2025[[#This Row],[1° trim 2025]:[4° trim 2025]])</f>
        <v>555</v>
      </c>
      <c r="G28" s="21">
        <f>AVERAGE(Subprefeituras_2025[[#This Row],[1° trim 2025]:[4° trim 2025]])</f>
        <v>138.75</v>
      </c>
      <c r="H28" s="159">
        <f>(Subprefeituras_2025[[#This Row],[Total]]/Subprefeituras_2025[[#Totals],[Total]])</f>
        <v>3.9222614840989399E-2</v>
      </c>
      <c r="I28" s="43"/>
    </row>
    <row r="29" spans="1:9" s="35" customFormat="1" ht="15">
      <c r="A29" s="35" t="s">
        <v>401</v>
      </c>
      <c r="B29" s="22">
        <v>149</v>
      </c>
      <c r="C29" s="22">
        <v>127</v>
      </c>
      <c r="D29" s="22">
        <v>146</v>
      </c>
      <c r="E29" s="22">
        <v>143</v>
      </c>
      <c r="F29" s="21">
        <f>SUM(Subprefeituras_2025[[#This Row],[1° trim 2025]:[4° trim 2025]])</f>
        <v>565</v>
      </c>
      <c r="G29" s="21">
        <f>AVERAGE(Subprefeituras_2025[[#This Row],[1° trim 2025]:[4° trim 2025]])</f>
        <v>141.25</v>
      </c>
      <c r="H29" s="159">
        <f>(Subprefeituras_2025[[#This Row],[Total]]/Subprefeituras_2025[[#Totals],[Total]])</f>
        <v>3.9929328621908129E-2</v>
      </c>
      <c r="I29" s="43"/>
    </row>
    <row r="30" spans="1:9" s="35" customFormat="1" ht="15">
      <c r="A30" s="35" t="s">
        <v>402</v>
      </c>
      <c r="B30" s="22">
        <v>104</v>
      </c>
      <c r="C30" s="22">
        <v>85</v>
      </c>
      <c r="D30" s="22">
        <v>61</v>
      </c>
      <c r="E30" s="22">
        <v>46</v>
      </c>
      <c r="F30" s="21">
        <f>SUM(Subprefeituras_2025[[#This Row],[1° trim 2025]:[4° trim 2025]])</f>
        <v>296</v>
      </c>
      <c r="G30" s="21">
        <f>AVERAGE(Subprefeituras_2025[[#This Row],[1° trim 2025]:[4° trim 2025]])</f>
        <v>74</v>
      </c>
      <c r="H30" s="159">
        <f>(Subprefeituras_2025[[#This Row],[Total]]/Subprefeituras_2025[[#Totals],[Total]])</f>
        <v>2.0918727915194345E-2</v>
      </c>
      <c r="I30" s="43"/>
    </row>
    <row r="31" spans="1:9" s="35" customFormat="1" ht="15">
      <c r="A31" s="35" t="s">
        <v>403</v>
      </c>
      <c r="B31" s="22">
        <v>57</v>
      </c>
      <c r="C31" s="22">
        <v>55</v>
      </c>
      <c r="D31" s="22">
        <v>55</v>
      </c>
      <c r="E31" s="22">
        <v>39</v>
      </c>
      <c r="F31" s="21">
        <f>SUM(Subprefeituras_2025[[#This Row],[1° trim 2025]:[4° trim 2025]])</f>
        <v>206</v>
      </c>
      <c r="G31" s="21">
        <f>AVERAGE(Subprefeituras_2025[[#This Row],[1° trim 2025]:[4° trim 2025]])</f>
        <v>51.5</v>
      </c>
      <c r="H31" s="159">
        <f>(Subprefeituras_2025[[#This Row],[Total]]/Subprefeituras_2025[[#Totals],[Total]])</f>
        <v>1.4558303886925795E-2</v>
      </c>
      <c r="I31" s="43"/>
    </row>
    <row r="32" spans="1:9" s="35" customFormat="1" ht="15">
      <c r="A32" s="35" t="s">
        <v>404</v>
      </c>
      <c r="B32" s="22">
        <v>46</v>
      </c>
      <c r="C32" s="22">
        <v>45</v>
      </c>
      <c r="D32" s="22">
        <v>36</v>
      </c>
      <c r="E32" s="22">
        <v>37</v>
      </c>
      <c r="F32" s="21">
        <f>SUM(Subprefeituras_2025[[#This Row],[1° trim 2025]:[4° trim 2025]])</f>
        <v>164</v>
      </c>
      <c r="G32" s="21">
        <f>AVERAGE(Subprefeituras_2025[[#This Row],[1° trim 2025]:[4° trim 2025]])</f>
        <v>41</v>
      </c>
      <c r="H32" s="159">
        <f>(Subprefeituras_2025[[#This Row],[Total]]/Subprefeituras_2025[[#Totals],[Total]])</f>
        <v>1.1590106007067138E-2</v>
      </c>
      <c r="I32" s="43"/>
    </row>
    <row r="33" spans="1:10" ht="15">
      <c r="A33" s="202" t="s">
        <v>374</v>
      </c>
      <c r="B33" s="22">
        <v>288</v>
      </c>
      <c r="C33" s="22">
        <v>385</v>
      </c>
      <c r="D33" s="22">
        <v>285</v>
      </c>
      <c r="E33" s="22">
        <v>242</v>
      </c>
      <c r="F33" s="21">
        <f>SUM(Subprefeituras_2025[[#This Row],[1° trim 2025]:[4° trim 2025]])</f>
        <v>1200</v>
      </c>
      <c r="G33" s="21">
        <f>AVERAGE(Subprefeituras_2025[[#This Row],[1° trim 2025]:[4° trim 2025]])</f>
        <v>300</v>
      </c>
      <c r="H33" s="159">
        <f>(Subprefeituras_2025[[#This Row],[Total]]/Subprefeituras_2025[[#Totals],[Total]])</f>
        <v>8.4805653710247356E-2</v>
      </c>
      <c r="I33" s="43"/>
      <c r="J33" s="35"/>
    </row>
    <row r="34" spans="1:10" ht="15">
      <c r="A34" s="35" t="s">
        <v>405</v>
      </c>
      <c r="B34" s="22">
        <v>116</v>
      </c>
      <c r="C34" s="22">
        <v>112</v>
      </c>
      <c r="D34" s="22">
        <v>96</v>
      </c>
      <c r="E34" s="22">
        <v>90</v>
      </c>
      <c r="F34" s="21">
        <f>SUM(Subprefeituras_2025[[#This Row],[1° trim 2025]:[4° trim 2025]])</f>
        <v>414</v>
      </c>
      <c r="G34" s="21">
        <f>AVERAGE(Subprefeituras_2025[[#This Row],[1° trim 2025]:[4° trim 2025]])</f>
        <v>103.5</v>
      </c>
      <c r="H34" s="159">
        <f>(Subprefeituras_2025[[#This Row],[Total]]/Subprefeituras_2025[[#Totals],[Total]])</f>
        <v>2.9257950530035336E-2</v>
      </c>
      <c r="I34" s="43"/>
      <c r="J34" s="35"/>
    </row>
    <row r="35" spans="1:10" ht="15">
      <c r="A35" s="35" t="s">
        <v>406</v>
      </c>
      <c r="B35" s="22">
        <v>148</v>
      </c>
      <c r="C35" s="22">
        <v>128</v>
      </c>
      <c r="D35" s="22">
        <v>116</v>
      </c>
      <c r="E35" s="22">
        <v>124</v>
      </c>
      <c r="F35" s="21">
        <f>SUM(Subprefeituras_2025[[#This Row],[1° trim 2025]:[4° trim 2025]])</f>
        <v>516</v>
      </c>
      <c r="G35" s="21">
        <f>AVERAGE(Subprefeituras_2025[[#This Row],[1° trim 2025]:[4° trim 2025]])</f>
        <v>129</v>
      </c>
      <c r="H35" s="159">
        <f>(Subprefeituras_2025[[#This Row],[Total]]/Subprefeituras_2025[[#Totals],[Total]])</f>
        <v>3.6466431095406357E-2</v>
      </c>
      <c r="I35" s="43"/>
      <c r="J35" s="35"/>
    </row>
    <row r="36" spans="1:10" ht="15">
      <c r="A36" s="35" t="s">
        <v>407</v>
      </c>
      <c r="B36" s="22">
        <v>76</v>
      </c>
      <c r="C36" s="22">
        <v>61</v>
      </c>
      <c r="D36" s="22">
        <v>74</v>
      </c>
      <c r="E36" s="22">
        <v>56</v>
      </c>
      <c r="F36" s="21">
        <f>SUM(Subprefeituras_2025[[#This Row],[1° trim 2025]:[4° trim 2025]])</f>
        <v>267</v>
      </c>
      <c r="G36" s="21">
        <f>AVERAGE(Subprefeituras_2025[[#This Row],[1° trim 2025]:[4° trim 2025]])</f>
        <v>66.75</v>
      </c>
      <c r="H36" s="159">
        <f>(Subprefeituras_2025[[#This Row],[Total]]/Subprefeituras_2025[[#Totals],[Total]])</f>
        <v>1.8869257950530037E-2</v>
      </c>
      <c r="I36" s="43"/>
      <c r="J36" s="35"/>
    </row>
    <row r="37" spans="1:10" ht="15">
      <c r="A37" s="126" t="s">
        <v>8</v>
      </c>
      <c r="B37" s="163">
        <f>SUBTOTAL(109,Subprefeituras_2025[1° trim 2025])</f>
        <v>3861</v>
      </c>
      <c r="C37" s="163">
        <f>SUBTOTAL(109,Subprefeituras_2025[2° trim 2025])</f>
        <v>3791</v>
      </c>
      <c r="D37" s="163">
        <f>SUBTOTAL(109,Subprefeituras_2025[3° trim 2025])</f>
        <v>3442</v>
      </c>
      <c r="E37" s="163">
        <f>SUBTOTAL(109,Subprefeituras_2025[4° trim 2025])</f>
        <v>3056</v>
      </c>
      <c r="F37" s="163">
        <f>SUBTOTAL(109,Subprefeituras_2025[Total])</f>
        <v>14150</v>
      </c>
      <c r="G37" s="163">
        <f>SUBTOTAL(109,Subprefeituras_2025[Média])</f>
        <v>3537.5</v>
      </c>
      <c r="H37" s="164">
        <f>SUBTOTAL(109,Subprefeituras_2025[% Total dentre as subprefeituras])</f>
        <v>1</v>
      </c>
    </row>
    <row r="38" spans="1:10" ht="15">
      <c r="A38" s="35"/>
      <c r="B38" s="5"/>
      <c r="C38" s="5"/>
      <c r="D38" s="5"/>
      <c r="E38" s="5"/>
      <c r="F38" s="156"/>
      <c r="G38" s="156"/>
      <c r="H38" s="12"/>
    </row>
    <row r="39" spans="1:10" ht="57.75">
      <c r="A39" s="74" t="s">
        <v>315</v>
      </c>
      <c r="B39" s="59"/>
      <c r="C39" s="59"/>
      <c r="D39" s="59"/>
      <c r="E39" s="59"/>
    </row>
    <row r="40" spans="1:10" ht="28.5">
      <c r="A40" s="85" t="s">
        <v>55</v>
      </c>
    </row>
  </sheetData>
  <hyperlinks>
    <hyperlink ref="A40" r:id="rId1" xr:uid="{00000000-0004-0000-0700-000000000000}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Protocolos</vt:lpstr>
      <vt:lpstr>Canais_atendimento</vt:lpstr>
      <vt:lpstr>10+_Assuntos_2025</vt:lpstr>
      <vt:lpstr>Assuntos</vt:lpstr>
      <vt:lpstr>10+_Unidades_2025</vt:lpstr>
      <vt:lpstr>Unidades</vt:lpstr>
      <vt:lpstr>10+_Subprefeituras_2025</vt:lpstr>
      <vt:lpstr>Subprefeituras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 Marli Siqueira de Freitas</dc:creator>
  <cp:keywords>DREST</cp:keywords>
  <dc:description/>
  <cp:lastModifiedBy>Bianca Marli Siqueira de Freitas</cp:lastModifiedBy>
  <cp:revision/>
  <cp:lastPrinted>2026-01-21T17:46:12Z</cp:lastPrinted>
  <dcterms:created xsi:type="dcterms:W3CDTF">2015-01-14T17:57:51Z</dcterms:created>
  <dcterms:modified xsi:type="dcterms:W3CDTF">2026-01-21T17:54:03Z</dcterms:modified>
  <cp:category/>
  <cp:contentStatus/>
</cp:coreProperties>
</file>